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4240" windowHeight="12345" firstSheet="11" activeTab="18"/>
  </bookViews>
  <sheets>
    <sheet name="2011 YATIRIM" sheetId="7" r:id="rId1"/>
    <sheet name="2010 YATIRIM" sheetId="5" r:id="rId2"/>
    <sheet name="2009 YATIRIM" sheetId="6" r:id="rId3"/>
    <sheet name="2011 birim" sheetId="8" r:id="rId4"/>
    <sheet name="2011 YATIRIM (2)" sheetId="9" r:id="rId5"/>
    <sheet name="2011 YATIRIM (3)" sheetId="11" r:id="rId6"/>
    <sheet name="2012tasarı" sheetId="10" r:id="rId7"/>
    <sheet name="2012 YATIRIM" sheetId="13" r:id="rId8"/>
    <sheet name="2012 birim" sheetId="14" r:id="rId9"/>
    <sheet name="2012 YATIRIM REKTÖRLÜK" sheetId="16" r:id="rId10"/>
    <sheet name="2013 YATIRIM " sheetId="18" r:id="rId11"/>
    <sheet name="2013 Birim" sheetId="20" r:id="rId12"/>
    <sheet name="2014 Birim" sheetId="23" r:id="rId13"/>
    <sheet name="2014 YATIRIM" sheetId="24" r:id="rId14"/>
    <sheet name="2015 yatırım birim" sheetId="25" r:id="rId15"/>
    <sheet name="2016 YATIRIM birim" sheetId="28" r:id="rId16"/>
    <sheet name="2016 YATIRIM " sheetId="21" r:id="rId17"/>
    <sheet name="2017 YATIRIM birim " sheetId="29" r:id="rId18"/>
    <sheet name="2017 YATIRIM " sheetId="30" r:id="rId19"/>
  </sheets>
  <externalReferences>
    <externalReference r:id="rId20"/>
    <externalReference r:id="rId21"/>
  </externalReferences>
  <definedNames>
    <definedName name="ButceYil" localSheetId="3">[1]gelir!#REF!</definedName>
    <definedName name="ButceYil" localSheetId="0">[1]gelir!#REF!</definedName>
    <definedName name="ButceYil" localSheetId="4">[1]gelir!#REF!</definedName>
    <definedName name="ButceYil" localSheetId="5">[1]gelir!#REF!</definedName>
    <definedName name="ButceYil" localSheetId="8">[2]gelir!#REF!</definedName>
    <definedName name="ButceYil" localSheetId="7">[2]gelir!#REF!</definedName>
    <definedName name="ButceYil" localSheetId="9">[2]gelir!#REF!</definedName>
    <definedName name="ButceYil" localSheetId="6">[2]gelir!#REF!</definedName>
    <definedName name="ButceYil" localSheetId="11">[2]gelir!#REF!</definedName>
    <definedName name="ButceYil" localSheetId="10">[2]gelir!#REF!</definedName>
    <definedName name="ButceYil" localSheetId="12">[2]gelir!#REF!</definedName>
    <definedName name="ButceYil" localSheetId="13">[2]gelir!#REF!</definedName>
    <definedName name="ButceYil" localSheetId="14">[2]gelir!#REF!</definedName>
    <definedName name="ButceYil" localSheetId="16">[2]gelir!#REF!</definedName>
    <definedName name="ButceYil" localSheetId="15">[2]gelir!#REF!</definedName>
    <definedName name="ButceYil" localSheetId="18">[2]gelir!#REF!</definedName>
    <definedName name="ButceYil" localSheetId="17">[2]gelir!#REF!</definedName>
    <definedName name="ButceYil">[1]gelir!#REF!</definedName>
    <definedName name="Print_Area" localSheetId="2">'2009 YATIRIM'!$F$3:$I$18</definedName>
    <definedName name="Print_Area" localSheetId="0">'2011 YATIRIM'!$A$2:$Q$29</definedName>
    <definedName name="Print_Area" localSheetId="4">'2011 YATIRIM (2)'!$A$1:$O$30</definedName>
    <definedName name="Print_Area" localSheetId="5">'2011 YATIRIM (3)'!$A$1:$Q$27</definedName>
    <definedName name="Print_Area" localSheetId="12">'2014 Birim'!$A$1:$M$30</definedName>
    <definedName name="Print_Area" localSheetId="13">'2014 YATIRIM'!$A$1:$M$30</definedName>
    <definedName name="rrr" localSheetId="12">[1]gelir!#REF!</definedName>
    <definedName name="rrr" localSheetId="13">[1]gelir!#REF!</definedName>
    <definedName name="rrr" localSheetId="14">[1]gelir!#REF!</definedName>
    <definedName name="rrr" localSheetId="15">[1]gelir!#REF!</definedName>
    <definedName name="rrr" localSheetId="18">[1]gelir!#REF!</definedName>
    <definedName name="rrr" localSheetId="17">[1]gelir!#REF!</definedName>
    <definedName name="rrr">[1]gelir!#REF!</definedName>
  </definedNames>
  <calcPr calcId="145621"/>
</workbook>
</file>

<file path=xl/calcChain.xml><?xml version="1.0" encoding="utf-8"?>
<calcChain xmlns="http://schemas.openxmlformats.org/spreadsheetml/2006/main">
  <c r="J26" i="30" l="1"/>
  <c r="J6" i="30" l="1"/>
  <c r="J24" i="29" l="1"/>
  <c r="J22" i="29"/>
  <c r="J20" i="29"/>
  <c r="J6" i="29"/>
  <c r="J28" i="29" l="1"/>
  <c r="N17" i="21"/>
  <c r="N6" i="21" s="1"/>
  <c r="M23" i="21"/>
  <c r="P6" i="21"/>
  <c r="M6" i="21"/>
  <c r="J6" i="21"/>
  <c r="N23" i="21"/>
  <c r="L6" i="21"/>
  <c r="P23" i="21"/>
  <c r="J6" i="28" l="1"/>
  <c r="O18" i="21" l="1"/>
  <c r="R18" i="21" s="1"/>
  <c r="Q18" i="21" l="1"/>
  <c r="J25" i="28"/>
  <c r="J23" i="28"/>
  <c r="J21" i="28"/>
  <c r="J27" i="28" s="1"/>
  <c r="J19" i="28"/>
  <c r="L23" i="21"/>
  <c r="J23" i="21"/>
  <c r="O13" i="21"/>
  <c r="Q13" i="21" s="1"/>
  <c r="R13" i="21" l="1"/>
  <c r="O14" i="21"/>
  <c r="R14" i="21" s="1"/>
  <c r="Q14" i="21" l="1"/>
  <c r="J25" i="25" l="1"/>
  <c r="J23" i="25"/>
  <c r="J21" i="25"/>
  <c r="J19" i="25"/>
  <c r="J17" i="25"/>
  <c r="J6" i="25" l="1"/>
  <c r="J27" i="25" s="1"/>
  <c r="P35" i="24"/>
  <c r="S35" i="24" s="1"/>
  <c r="Q34" i="24"/>
  <c r="O34" i="24"/>
  <c r="N34" i="24"/>
  <c r="M34" i="24"/>
  <c r="K34" i="24"/>
  <c r="P27" i="24"/>
  <c r="Q26" i="24"/>
  <c r="O26" i="24"/>
  <c r="N26" i="24"/>
  <c r="M26" i="24"/>
  <c r="K26" i="24"/>
  <c r="O25" i="24"/>
  <c r="O24" i="24" s="1"/>
  <c r="Q24" i="24"/>
  <c r="N24" i="24"/>
  <c r="M24" i="24"/>
  <c r="K24" i="24"/>
  <c r="P23" i="24"/>
  <c r="S23" i="24" s="1"/>
  <c r="P22" i="24"/>
  <c r="R22" i="24" s="1"/>
  <c r="Q21" i="24"/>
  <c r="O21" i="24"/>
  <c r="N21" i="24"/>
  <c r="M21" i="24"/>
  <c r="K21" i="24"/>
  <c r="P20" i="24"/>
  <c r="P19" i="24" s="1"/>
  <c r="Q19" i="24"/>
  <c r="S19" i="24" s="1"/>
  <c r="O19" i="24"/>
  <c r="N19" i="24"/>
  <c r="M19" i="24"/>
  <c r="K19" i="24"/>
  <c r="P18" i="24"/>
  <c r="S18" i="24" s="1"/>
  <c r="O17" i="24"/>
  <c r="M17" i="24"/>
  <c r="M6" i="24" s="1"/>
  <c r="K17" i="24"/>
  <c r="K6" i="24" s="1"/>
  <c r="P16" i="24"/>
  <c r="R16" i="24" s="1"/>
  <c r="P15" i="24"/>
  <c r="R15" i="24" s="1"/>
  <c r="O14" i="24"/>
  <c r="P14" i="24" s="1"/>
  <c r="P13" i="24"/>
  <c r="R13" i="24" s="1"/>
  <c r="P12" i="24"/>
  <c r="S12" i="24" s="1"/>
  <c r="P11" i="24"/>
  <c r="R11" i="24" s="1"/>
  <c r="P10" i="24"/>
  <c r="R10" i="24" s="1"/>
  <c r="S9" i="24"/>
  <c r="P9" i="24"/>
  <c r="R9" i="24" s="1"/>
  <c r="P8" i="24"/>
  <c r="S8" i="24" s="1"/>
  <c r="O7" i="24"/>
  <c r="N6" i="24"/>
  <c r="R19" i="24" l="1"/>
  <c r="S13" i="24"/>
  <c r="S10" i="24"/>
  <c r="S15" i="24"/>
  <c r="P26" i="24"/>
  <c r="R26" i="24" s="1"/>
  <c r="S14" i="24"/>
  <c r="R14" i="24"/>
  <c r="O6" i="24"/>
  <c r="R20" i="24"/>
  <c r="N28" i="24"/>
  <c r="P17" i="24"/>
  <c r="R17" i="24" s="1"/>
  <c r="R18" i="24"/>
  <c r="S20" i="24"/>
  <c r="P24" i="24"/>
  <c r="R24" i="24" s="1"/>
  <c r="P34" i="24"/>
  <c r="R34" i="24" s="1"/>
  <c r="K28" i="24"/>
  <c r="M28" i="24"/>
  <c r="P25" i="24"/>
  <c r="S25" i="24" s="1"/>
  <c r="S17" i="24"/>
  <c r="S26" i="24"/>
  <c r="O28" i="24"/>
  <c r="P7" i="24"/>
  <c r="R12" i="24"/>
  <c r="P21" i="24"/>
  <c r="S11" i="24"/>
  <c r="S16" i="24"/>
  <c r="S22" i="24"/>
  <c r="Q6" i="24"/>
  <c r="R8" i="24"/>
  <c r="R23" i="24"/>
  <c r="R25" i="24"/>
  <c r="R35" i="24"/>
  <c r="S34" i="24" l="1"/>
  <c r="S24" i="24"/>
  <c r="R7" i="24"/>
  <c r="R6" i="24" s="1"/>
  <c r="S7" i="24"/>
  <c r="P6" i="24"/>
  <c r="S6" i="24" s="1"/>
  <c r="Q28" i="24"/>
  <c r="R21" i="24"/>
  <c r="S21" i="24"/>
  <c r="P28" i="24" l="1"/>
  <c r="R28" i="24"/>
  <c r="S28" i="24"/>
  <c r="P21" i="21" l="1"/>
  <c r="N21" i="21"/>
  <c r="M21" i="21"/>
  <c r="O11" i="21"/>
  <c r="R11" i="21" s="1"/>
  <c r="O10" i="21"/>
  <c r="R10" i="21" s="1"/>
  <c r="Q11" i="21" l="1"/>
  <c r="Q10" i="21"/>
  <c r="O22" i="21" l="1"/>
  <c r="O20" i="21"/>
  <c r="O19" i="21" s="1"/>
  <c r="O8" i="21"/>
  <c r="Q8" i="21" s="1"/>
  <c r="O9" i="21"/>
  <c r="O12" i="21"/>
  <c r="O15" i="21"/>
  <c r="O16" i="21"/>
  <c r="O17" i="21"/>
  <c r="O7" i="21"/>
  <c r="O6" i="21" l="1"/>
  <c r="Q7" i="21"/>
  <c r="O21" i="21"/>
  <c r="R22" i="21"/>
  <c r="K26" i="23"/>
  <c r="K24" i="23"/>
  <c r="K21" i="23"/>
  <c r="K19" i="23"/>
  <c r="I10" i="23"/>
  <c r="K6" i="23"/>
  <c r="K28" i="23" l="1"/>
  <c r="J19" i="21"/>
  <c r="J25" i="21" s="1"/>
  <c r="J21" i="21"/>
  <c r="L21" i="21" l="1"/>
  <c r="R20" i="21"/>
  <c r="P19" i="21"/>
  <c r="P25" i="21" s="1"/>
  <c r="N19" i="21"/>
  <c r="N25" i="21" s="1"/>
  <c r="M19" i="21"/>
  <c r="M25" i="21" s="1"/>
  <c r="L19" i="21"/>
  <c r="R17" i="21"/>
  <c r="R15" i="21"/>
  <c r="R12" i="21"/>
  <c r="R9" i="21"/>
  <c r="R7" i="21"/>
  <c r="N13" i="18"/>
  <c r="O13" i="18" s="1"/>
  <c r="R13" i="18" s="1"/>
  <c r="J24" i="20"/>
  <c r="J21" i="20"/>
  <c r="J19" i="20"/>
  <c r="J17" i="20"/>
  <c r="H9" i="20"/>
  <c r="J5" i="20"/>
  <c r="H10" i="18"/>
  <c r="O19" i="18"/>
  <c r="Q19" i="18" s="1"/>
  <c r="P18" i="18"/>
  <c r="N18" i="18"/>
  <c r="M18" i="18"/>
  <c r="L18" i="18"/>
  <c r="J18" i="18"/>
  <c r="O26" i="18"/>
  <c r="P25" i="18"/>
  <c r="M25" i="18"/>
  <c r="L25" i="18"/>
  <c r="J25" i="18"/>
  <c r="O24" i="18"/>
  <c r="R24" i="18" s="1"/>
  <c r="O23" i="18"/>
  <c r="Q23" i="18" s="1"/>
  <c r="P22" i="18"/>
  <c r="N22" i="18"/>
  <c r="M22" i="18"/>
  <c r="L22" i="18"/>
  <c r="J22" i="18"/>
  <c r="O21" i="18"/>
  <c r="R21" i="18" s="1"/>
  <c r="P20" i="18"/>
  <c r="N20" i="18"/>
  <c r="M20" i="18"/>
  <c r="L20" i="18"/>
  <c r="J20" i="18"/>
  <c r="O17" i="18"/>
  <c r="Q17" i="18" s="1"/>
  <c r="O16" i="18"/>
  <c r="R16" i="18" s="1"/>
  <c r="P6" i="18"/>
  <c r="O15" i="18"/>
  <c r="Q15" i="18" s="1"/>
  <c r="O14" i="18"/>
  <c r="Q14" i="18" s="1"/>
  <c r="O12" i="18"/>
  <c r="Q12" i="18" s="1"/>
  <c r="O11" i="18"/>
  <c r="Q11" i="18" s="1"/>
  <c r="O10" i="18"/>
  <c r="Q10" i="18" s="1"/>
  <c r="O9" i="18"/>
  <c r="Q9" i="18" s="1"/>
  <c r="O8" i="18"/>
  <c r="R8" i="18" s="1"/>
  <c r="O7" i="18"/>
  <c r="Q7" i="18" s="1"/>
  <c r="N6" i="18"/>
  <c r="M6" i="18"/>
  <c r="L6" i="18"/>
  <c r="L27" i="18" s="1"/>
  <c r="J6" i="18"/>
  <c r="M29" i="13"/>
  <c r="N29" i="13" s="1"/>
  <c r="Q29" i="13" s="1"/>
  <c r="O16" i="13"/>
  <c r="O20" i="13"/>
  <c r="O15" i="13"/>
  <c r="M15" i="13"/>
  <c r="M11" i="13" s="1"/>
  <c r="N24" i="13"/>
  <c r="Q24" i="13" s="1"/>
  <c r="L11" i="16"/>
  <c r="M29" i="16"/>
  <c r="N29" i="16"/>
  <c r="Q29" i="16" s="1"/>
  <c r="O28" i="16"/>
  <c r="M28" i="16"/>
  <c r="L28" i="16"/>
  <c r="K28" i="16"/>
  <c r="I28" i="16"/>
  <c r="P27" i="16"/>
  <c r="N27" i="16"/>
  <c r="Q27" i="16" s="1"/>
  <c r="N26" i="16"/>
  <c r="Q26" i="16" s="1"/>
  <c r="O25" i="16"/>
  <c r="M25" i="16"/>
  <c r="L25" i="16"/>
  <c r="K25" i="16"/>
  <c r="I25" i="16"/>
  <c r="N24" i="16"/>
  <c r="Q24" i="16" s="1"/>
  <c r="O23" i="16"/>
  <c r="M23" i="16"/>
  <c r="L23" i="16"/>
  <c r="K23" i="16"/>
  <c r="I23" i="16"/>
  <c r="N22" i="16"/>
  <c r="Q22" i="16" s="1"/>
  <c r="N21" i="16"/>
  <c r="Q21" i="16" s="1"/>
  <c r="N20" i="16"/>
  <c r="Q20" i="16" s="1"/>
  <c r="N19" i="16"/>
  <c r="Q19" i="16" s="1"/>
  <c r="N18" i="16"/>
  <c r="Q18" i="16" s="1"/>
  <c r="N17" i="16"/>
  <c r="Q17" i="16" s="1"/>
  <c r="N16" i="16"/>
  <c r="Q16" i="16" s="1"/>
  <c r="N15" i="16"/>
  <c r="Q15" i="16" s="1"/>
  <c r="N14" i="16"/>
  <c r="Q14" i="16" s="1"/>
  <c r="N13" i="16"/>
  <c r="Q13" i="16" s="1"/>
  <c r="N12" i="16"/>
  <c r="Q12" i="16" s="1"/>
  <c r="O11" i="16"/>
  <c r="M11" i="16"/>
  <c r="K11" i="16"/>
  <c r="I11" i="16"/>
  <c r="G34" i="13"/>
  <c r="M25" i="7"/>
  <c r="I21" i="14"/>
  <c r="I18" i="14"/>
  <c r="I16" i="14"/>
  <c r="I4" i="14"/>
  <c r="O28" i="13"/>
  <c r="L28" i="13"/>
  <c r="K28" i="13"/>
  <c r="I28" i="13"/>
  <c r="N27" i="13"/>
  <c r="Q27" i="13" s="1"/>
  <c r="N26" i="13"/>
  <c r="Q26" i="13" s="1"/>
  <c r="O25" i="13"/>
  <c r="M25" i="13"/>
  <c r="L25" i="13"/>
  <c r="K25" i="13"/>
  <c r="I25" i="13"/>
  <c r="O23" i="13"/>
  <c r="M23" i="13"/>
  <c r="L23" i="13"/>
  <c r="K23" i="13"/>
  <c r="I23" i="13"/>
  <c r="N22" i="13"/>
  <c r="Q22" i="13" s="1"/>
  <c r="N21" i="13"/>
  <c r="Q21" i="13" s="1"/>
  <c r="N20" i="13"/>
  <c r="N19" i="13"/>
  <c r="Q19" i="13" s="1"/>
  <c r="N18" i="13"/>
  <c r="Q18" i="13" s="1"/>
  <c r="N17" i="13"/>
  <c r="Q17" i="13" s="1"/>
  <c r="N16" i="13"/>
  <c r="Q16" i="13" s="1"/>
  <c r="N15" i="13"/>
  <c r="N14" i="13"/>
  <c r="Q14" i="13" s="1"/>
  <c r="N13" i="13"/>
  <c r="Q13" i="13" s="1"/>
  <c r="N12" i="13"/>
  <c r="Q12" i="13" s="1"/>
  <c r="L11" i="13"/>
  <c r="K11" i="13"/>
  <c r="I11" i="13"/>
  <c r="O15" i="7"/>
  <c r="O11" i="7"/>
  <c r="O9" i="7"/>
  <c r="M23" i="11"/>
  <c r="N23" i="11" s="1"/>
  <c r="P23" i="11" s="1"/>
  <c r="O22" i="11"/>
  <c r="L22" i="11"/>
  <c r="K22" i="11"/>
  <c r="I22" i="11"/>
  <c r="N21" i="11"/>
  <c r="P21" i="11" s="1"/>
  <c r="N20" i="11"/>
  <c r="Q20" i="11" s="1"/>
  <c r="O19" i="11"/>
  <c r="M19" i="11"/>
  <c r="L19" i="11"/>
  <c r="K19" i="11"/>
  <c r="I19" i="11"/>
  <c r="N18" i="11"/>
  <c r="P18" i="11" s="1"/>
  <c r="O17" i="11"/>
  <c r="M17" i="11"/>
  <c r="L17" i="11"/>
  <c r="K17" i="11"/>
  <c r="I17" i="11"/>
  <c r="P16" i="11"/>
  <c r="N16" i="11"/>
  <c r="Q16" i="11" s="1"/>
  <c r="N15" i="11"/>
  <c r="P15" i="11" s="1"/>
  <c r="N14" i="11"/>
  <c r="Q14" i="11" s="1"/>
  <c r="O13" i="11"/>
  <c r="N13" i="11"/>
  <c r="M12" i="11"/>
  <c r="N12" i="11" s="1"/>
  <c r="P12" i="11" s="1"/>
  <c r="N11" i="11"/>
  <c r="P11" i="11" s="1"/>
  <c r="N10" i="11"/>
  <c r="Q10" i="11" s="1"/>
  <c r="O9" i="11"/>
  <c r="N9" i="11"/>
  <c r="P9" i="11" s="1"/>
  <c r="N8" i="11"/>
  <c r="P8" i="11" s="1"/>
  <c r="O7" i="11"/>
  <c r="Q7" i="11" s="1"/>
  <c r="N7" i="11"/>
  <c r="N6" i="11"/>
  <c r="Q6" i="11" s="1"/>
  <c r="N5" i="11"/>
  <c r="P5" i="11" s="1"/>
  <c r="N4" i="11"/>
  <c r="Q4" i="11" s="1"/>
  <c r="L3" i="11"/>
  <c r="K3" i="11"/>
  <c r="I3" i="11"/>
  <c r="N22" i="10"/>
  <c r="Q22" i="10" s="1"/>
  <c r="O21" i="10"/>
  <c r="M21" i="10"/>
  <c r="L21" i="10"/>
  <c r="K21" i="10"/>
  <c r="I21" i="10"/>
  <c r="N20" i="10"/>
  <c r="P20" i="10" s="1"/>
  <c r="N19" i="10"/>
  <c r="Q19" i="10" s="1"/>
  <c r="O18" i="10"/>
  <c r="M18" i="10"/>
  <c r="L18" i="10"/>
  <c r="K18" i="10"/>
  <c r="I18" i="10"/>
  <c r="N17" i="10"/>
  <c r="P17" i="10" s="1"/>
  <c r="O16" i="10"/>
  <c r="M16" i="10"/>
  <c r="L16" i="10"/>
  <c r="K16" i="10"/>
  <c r="I16" i="10"/>
  <c r="N15" i="10"/>
  <c r="Q15" i="10" s="1"/>
  <c r="N14" i="10"/>
  <c r="P14" i="10" s="1"/>
  <c r="N13" i="10"/>
  <c r="Q13" i="10" s="1"/>
  <c r="N12" i="10"/>
  <c r="P12" i="10" s="1"/>
  <c r="N11" i="10"/>
  <c r="Q11" i="10" s="1"/>
  <c r="N10" i="10"/>
  <c r="P10" i="10" s="1"/>
  <c r="P9" i="10"/>
  <c r="N9" i="10"/>
  <c r="Q9" i="10" s="1"/>
  <c r="N8" i="10"/>
  <c r="P8" i="10" s="1"/>
  <c r="N7" i="10"/>
  <c r="Q7" i="10" s="1"/>
  <c r="N6" i="10"/>
  <c r="P6" i="10" s="1"/>
  <c r="N5" i="10"/>
  <c r="Q5" i="10" s="1"/>
  <c r="O4" i="10"/>
  <c r="M4" i="10"/>
  <c r="L4" i="10"/>
  <c r="K4" i="10"/>
  <c r="I4" i="10"/>
  <c r="M3" i="11" l="1"/>
  <c r="J27" i="18"/>
  <c r="P14" i="13"/>
  <c r="N18" i="10"/>
  <c r="P11" i="10"/>
  <c r="P16" i="13"/>
  <c r="Q20" i="13"/>
  <c r="N21" i="10"/>
  <c r="P21" i="10" s="1"/>
  <c r="L25" i="21"/>
  <c r="Q17" i="21"/>
  <c r="Q22" i="21"/>
  <c r="R8" i="21"/>
  <c r="R19" i="21"/>
  <c r="Q15" i="21"/>
  <c r="Q16" i="21"/>
  <c r="R16" i="21"/>
  <c r="Q21" i="21"/>
  <c r="R21" i="21"/>
  <c r="Q9" i="21"/>
  <c r="Q6" i="21" s="1"/>
  <c r="Q12" i="21"/>
  <c r="Q20" i="21"/>
  <c r="M23" i="10"/>
  <c r="O3" i="11"/>
  <c r="O24" i="11" s="1"/>
  <c r="P13" i="11"/>
  <c r="N23" i="13"/>
  <c r="P23" i="13" s="1"/>
  <c r="N23" i="16"/>
  <c r="P23" i="16" s="1"/>
  <c r="O11" i="13"/>
  <c r="O30" i="13" s="1"/>
  <c r="L23" i="10"/>
  <c r="O23" i="10"/>
  <c r="I30" i="13"/>
  <c r="P15" i="10"/>
  <c r="K23" i="10"/>
  <c r="P20" i="11"/>
  <c r="P12" i="13"/>
  <c r="K30" i="13"/>
  <c r="N11" i="16"/>
  <c r="P17" i="16"/>
  <c r="N25" i="16"/>
  <c r="P7" i="10"/>
  <c r="P4" i="10" s="1"/>
  <c r="P5" i="10"/>
  <c r="P13" i="10"/>
  <c r="I23" i="10"/>
  <c r="P19" i="10"/>
  <c r="P22" i="10"/>
  <c r="M22" i="11"/>
  <c r="N22" i="11" s="1"/>
  <c r="P18" i="13"/>
  <c r="P26" i="13"/>
  <c r="O20" i="18"/>
  <c r="Q20" i="18" s="1"/>
  <c r="O18" i="18"/>
  <c r="Q18" i="18" s="1"/>
  <c r="Q8" i="18"/>
  <c r="J26" i="20"/>
  <c r="O6" i="18"/>
  <c r="Q13" i="18"/>
  <c r="R19" i="18"/>
  <c r="Q24" i="18"/>
  <c r="Q21" i="18"/>
  <c r="R10" i="18"/>
  <c r="R11" i="18"/>
  <c r="R6" i="18"/>
  <c r="Q16" i="18"/>
  <c r="M27" i="18"/>
  <c r="R26" i="18"/>
  <c r="Q26" i="18"/>
  <c r="P27" i="18"/>
  <c r="R7" i="18"/>
  <c r="R9" i="18"/>
  <c r="R12" i="18"/>
  <c r="R14" i="18"/>
  <c r="R15" i="18"/>
  <c r="R17" i="18"/>
  <c r="O22" i="18"/>
  <c r="R22" i="18" s="1"/>
  <c r="R23" i="18"/>
  <c r="N25" i="18"/>
  <c r="N27" i="18" s="1"/>
  <c r="M28" i="13"/>
  <c r="M30" i="13" s="1"/>
  <c r="Q15" i="13"/>
  <c r="P22" i="13"/>
  <c r="L30" i="13"/>
  <c r="P24" i="16"/>
  <c r="P13" i="16"/>
  <c r="N28" i="16"/>
  <c r="P28" i="16" s="1"/>
  <c r="P29" i="16"/>
  <c r="P21" i="16"/>
  <c r="K30" i="16"/>
  <c r="M30" i="16"/>
  <c r="Q11" i="16"/>
  <c r="P15" i="16"/>
  <c r="P19" i="16"/>
  <c r="L30" i="16"/>
  <c r="O30" i="16"/>
  <c r="Q23" i="16"/>
  <c r="P25" i="16"/>
  <c r="Q28" i="16"/>
  <c r="P12" i="16"/>
  <c r="P14" i="16"/>
  <c r="P16" i="16"/>
  <c r="P18" i="16"/>
  <c r="P20" i="16"/>
  <c r="P22" i="16"/>
  <c r="Q25" i="16"/>
  <c r="P26" i="16"/>
  <c r="I30" i="16"/>
  <c r="P20" i="13"/>
  <c r="P29" i="13"/>
  <c r="I23" i="14"/>
  <c r="Q23" i="13"/>
  <c r="N11" i="13"/>
  <c r="P13" i="13"/>
  <c r="P15" i="13"/>
  <c r="P17" i="13"/>
  <c r="P19" i="13"/>
  <c r="P21" i="13"/>
  <c r="P24" i="13"/>
  <c r="N25" i="13"/>
  <c r="P27" i="13"/>
  <c r="P6" i="11"/>
  <c r="Q13" i="11"/>
  <c r="P14" i="11"/>
  <c r="N17" i="11"/>
  <c r="P17" i="11" s="1"/>
  <c r="I24" i="11"/>
  <c r="L24" i="11"/>
  <c r="P4" i="11"/>
  <c r="P7" i="11"/>
  <c r="Q9" i="11"/>
  <c r="P10" i="11"/>
  <c r="K24" i="11"/>
  <c r="Q5" i="11"/>
  <c r="Q8" i="11"/>
  <c r="Q11" i="11"/>
  <c r="Q12" i="11"/>
  <c r="Q15" i="11"/>
  <c r="Q18" i="11"/>
  <c r="Q21" i="11"/>
  <c r="Q23" i="11"/>
  <c r="N3" i="11"/>
  <c r="Q3" i="11" s="1"/>
  <c r="N19" i="11"/>
  <c r="P18" i="10"/>
  <c r="Q21" i="10"/>
  <c r="Q6" i="10"/>
  <c r="Q8" i="10"/>
  <c r="Q10" i="10"/>
  <c r="Q12" i="10"/>
  <c r="Q14" i="10"/>
  <c r="N16" i="10"/>
  <c r="P16" i="10" s="1"/>
  <c r="Q17" i="10"/>
  <c r="Q18" i="10"/>
  <c r="Q20" i="10"/>
  <c r="N4" i="10"/>
  <c r="Q4" i="10" s="1"/>
  <c r="N30" i="16" l="1"/>
  <c r="M24" i="11"/>
  <c r="P3" i="11"/>
  <c r="R18" i="18"/>
  <c r="Q19" i="21"/>
  <c r="R6" i="21"/>
  <c r="P22" i="11"/>
  <c r="Q22" i="11"/>
  <c r="N23" i="10"/>
  <c r="Q23" i="10" s="1"/>
  <c r="Q17" i="11"/>
  <c r="Q30" i="16"/>
  <c r="Q11" i="13"/>
  <c r="R20" i="18"/>
  <c r="Q6" i="18"/>
  <c r="O25" i="18"/>
  <c r="O27" i="18" s="1"/>
  <c r="Q22" i="18"/>
  <c r="N28" i="13"/>
  <c r="P28" i="13" s="1"/>
  <c r="P11" i="16"/>
  <c r="P30" i="16" s="1"/>
  <c r="P11" i="13"/>
  <c r="P25" i="13"/>
  <c r="Q25" i="13"/>
  <c r="N24" i="11"/>
  <c r="Q24" i="11" s="1"/>
  <c r="P19" i="11"/>
  <c r="P24" i="11" s="1"/>
  <c r="Q19" i="11"/>
  <c r="Q16" i="10"/>
  <c r="P23" i="10"/>
  <c r="N8" i="7"/>
  <c r="P8" i="7" s="1"/>
  <c r="M14" i="7"/>
  <c r="K17" i="9"/>
  <c r="M17" i="9" s="1"/>
  <c r="M18" i="9"/>
  <c r="N25" i="9"/>
  <c r="K26" i="9"/>
  <c r="M26" i="9" s="1"/>
  <c r="L25" i="9"/>
  <c r="J25" i="9"/>
  <c r="I25" i="9"/>
  <c r="H25" i="9"/>
  <c r="G25" i="9"/>
  <c r="K24" i="9"/>
  <c r="K23" i="9"/>
  <c r="M23" i="9" s="1"/>
  <c r="L22" i="9"/>
  <c r="J22" i="9"/>
  <c r="I22" i="9"/>
  <c r="H22" i="9"/>
  <c r="G22" i="9"/>
  <c r="K21" i="9"/>
  <c r="L20" i="9"/>
  <c r="J20" i="9"/>
  <c r="I20" i="9"/>
  <c r="H20" i="9"/>
  <c r="G20" i="9"/>
  <c r="M19" i="9"/>
  <c r="K16" i="9"/>
  <c r="K15" i="9"/>
  <c r="M15" i="9" s="1"/>
  <c r="K14" i="9"/>
  <c r="K13" i="9"/>
  <c r="M13" i="9" s="1"/>
  <c r="K12" i="9"/>
  <c r="K11" i="9"/>
  <c r="M11" i="9" s="1"/>
  <c r="K10" i="9"/>
  <c r="K9" i="9"/>
  <c r="M9" i="9" s="1"/>
  <c r="K8" i="9"/>
  <c r="K7" i="9"/>
  <c r="M7" i="9" s="1"/>
  <c r="K6" i="9"/>
  <c r="K5" i="9"/>
  <c r="M5" i="9" s="1"/>
  <c r="L4" i="9"/>
  <c r="J4" i="9"/>
  <c r="I4" i="9"/>
  <c r="H4" i="9"/>
  <c r="G4" i="9"/>
  <c r="O24" i="7"/>
  <c r="O21" i="7"/>
  <c r="O19" i="7"/>
  <c r="O5" i="7"/>
  <c r="Q25" i="18" l="1"/>
  <c r="Q27" i="18" s="1"/>
  <c r="R25" i="18"/>
  <c r="R27" i="18"/>
  <c r="Q28" i="13"/>
  <c r="N30" i="13"/>
  <c r="Q30" i="13" s="1"/>
  <c r="P30" i="13"/>
  <c r="O26" i="7"/>
  <c r="K20" i="9"/>
  <c r="M20" i="9" s="1"/>
  <c r="N27" i="9"/>
  <c r="M12" i="9"/>
  <c r="M8" i="9"/>
  <c r="M16" i="9"/>
  <c r="M21" i="9"/>
  <c r="L27" i="9"/>
  <c r="M24" i="9"/>
  <c r="K4" i="9"/>
  <c r="M6" i="9"/>
  <c r="M10" i="9"/>
  <c r="M14" i="9"/>
  <c r="H27" i="9"/>
  <c r="J27" i="9"/>
  <c r="G27" i="9"/>
  <c r="I27" i="9"/>
  <c r="K25" i="9"/>
  <c r="M25" i="9" s="1"/>
  <c r="K22" i="9"/>
  <c r="O10" i="5"/>
  <c r="O9" i="5"/>
  <c r="K24" i="7"/>
  <c r="K21" i="7"/>
  <c r="K19" i="7"/>
  <c r="K5" i="7"/>
  <c r="J23" i="8"/>
  <c r="J20" i="8"/>
  <c r="J18" i="8"/>
  <c r="J4" i="8"/>
  <c r="K26" i="7" l="1"/>
  <c r="M4" i="9"/>
  <c r="K27" i="9"/>
  <c r="M22" i="9"/>
  <c r="J25" i="8"/>
  <c r="M25" i="5"/>
  <c r="M24" i="5" s="1"/>
  <c r="O24" i="5"/>
  <c r="L24" i="5"/>
  <c r="I24" i="5"/>
  <c r="N23" i="5"/>
  <c r="P23" i="5" s="1"/>
  <c r="N22" i="5"/>
  <c r="Q22" i="5" s="1"/>
  <c r="O21" i="5"/>
  <c r="M21" i="5"/>
  <c r="L21" i="5"/>
  <c r="I21" i="5"/>
  <c r="N20" i="5"/>
  <c r="Q20" i="5" s="1"/>
  <c r="O19" i="5"/>
  <c r="M19" i="5"/>
  <c r="L19" i="5"/>
  <c r="I19" i="5"/>
  <c r="M18" i="5"/>
  <c r="N18" i="5" s="1"/>
  <c r="N17" i="5"/>
  <c r="Q17" i="5" s="1"/>
  <c r="N16" i="5"/>
  <c r="P16" i="5" s="1"/>
  <c r="M15" i="5"/>
  <c r="N15" i="5" s="1"/>
  <c r="M14" i="5"/>
  <c r="N14" i="5" s="1"/>
  <c r="N13" i="5"/>
  <c r="Q13" i="5" s="1"/>
  <c r="N12" i="5"/>
  <c r="P12" i="5" s="1"/>
  <c r="N11" i="5"/>
  <c r="Q11" i="5" s="1"/>
  <c r="N10" i="5"/>
  <c r="P10" i="5" s="1"/>
  <c r="N9" i="5"/>
  <c r="Q9" i="5" s="1"/>
  <c r="N8" i="5"/>
  <c r="P8" i="5" s="1"/>
  <c r="N7" i="5"/>
  <c r="Q7" i="5" s="1"/>
  <c r="N6" i="5"/>
  <c r="P6" i="5" s="1"/>
  <c r="N5" i="5"/>
  <c r="Q5" i="5" s="1"/>
  <c r="O4" i="5"/>
  <c r="M4" i="5"/>
  <c r="L4" i="5"/>
  <c r="I4" i="5"/>
  <c r="N25" i="7"/>
  <c r="Q25" i="7" s="1"/>
  <c r="M24" i="7"/>
  <c r="L24" i="7"/>
  <c r="I24" i="7"/>
  <c r="N23" i="7"/>
  <c r="P23" i="7" s="1"/>
  <c r="N22" i="7"/>
  <c r="Q22" i="7" s="1"/>
  <c r="M21" i="7"/>
  <c r="L21" i="7"/>
  <c r="I21" i="7"/>
  <c r="N20" i="7"/>
  <c r="Q20" i="7" s="1"/>
  <c r="M19" i="7"/>
  <c r="L19" i="7"/>
  <c r="I19" i="7"/>
  <c r="N18" i="7"/>
  <c r="Q18" i="7" s="1"/>
  <c r="N17" i="7"/>
  <c r="P17" i="7" s="1"/>
  <c r="N16" i="7"/>
  <c r="Q16" i="7" s="1"/>
  <c r="N15" i="7"/>
  <c r="P15" i="7" s="1"/>
  <c r="N14" i="7"/>
  <c r="P14" i="7" s="1"/>
  <c r="N13" i="7"/>
  <c r="P13" i="7" s="1"/>
  <c r="N12" i="7"/>
  <c r="P12" i="7" s="1"/>
  <c r="N11" i="7"/>
  <c r="Q11" i="7" s="1"/>
  <c r="N10" i="7"/>
  <c r="P10" i="7" s="1"/>
  <c r="N9" i="7"/>
  <c r="Q9" i="7" s="1"/>
  <c r="N7" i="7"/>
  <c r="Q7" i="7" s="1"/>
  <c r="N6" i="7"/>
  <c r="P6" i="7" s="1"/>
  <c r="M5" i="7"/>
  <c r="L5" i="7"/>
  <c r="I5" i="7"/>
  <c r="F44" i="6"/>
  <c r="I44" i="6" s="1"/>
  <c r="F41" i="6"/>
  <c r="F39" i="6"/>
  <c r="H39" i="6" s="1"/>
  <c r="D37" i="6"/>
  <c r="D42" i="6" s="1"/>
  <c r="D45" i="6" s="1"/>
  <c r="C37" i="6"/>
  <c r="C42" i="6" s="1"/>
  <c r="C45" i="6" s="1"/>
  <c r="F36" i="6"/>
  <c r="H36" i="6" s="1"/>
  <c r="F35" i="6"/>
  <c r="I35" i="6" s="1"/>
  <c r="F34" i="6"/>
  <c r="H34" i="6" s="1"/>
  <c r="F33" i="6"/>
  <c r="I33" i="6" s="1"/>
  <c r="E32" i="6"/>
  <c r="F32" i="6" s="1"/>
  <c r="H32" i="6" s="1"/>
  <c r="F31" i="6"/>
  <c r="H31" i="6" s="1"/>
  <c r="F30" i="6"/>
  <c r="I30" i="6" s="1"/>
  <c r="G29" i="6"/>
  <c r="G37" i="6" s="1"/>
  <c r="F29" i="6"/>
  <c r="F28" i="6"/>
  <c r="H28" i="6" s="1"/>
  <c r="E27" i="6"/>
  <c r="F26" i="6"/>
  <c r="I26" i="6" s="1"/>
  <c r="I18" i="6"/>
  <c r="F18" i="6"/>
  <c r="K17" i="6"/>
  <c r="L17" i="6" s="1"/>
  <c r="N17" i="6" s="1"/>
  <c r="L16" i="6"/>
  <c r="N16" i="6" s="1"/>
  <c r="L15" i="6"/>
  <c r="N15" i="6" s="1"/>
  <c r="L14" i="6"/>
  <c r="N14" i="6" s="1"/>
  <c r="L13" i="6"/>
  <c r="N13" i="6" s="1"/>
  <c r="L12" i="6"/>
  <c r="N12" i="6" s="1"/>
  <c r="K12" i="6"/>
  <c r="L11" i="6"/>
  <c r="N11" i="6" s="1"/>
  <c r="L10" i="6"/>
  <c r="N10" i="6" s="1"/>
  <c r="M9" i="6"/>
  <c r="M18" i="6" s="1"/>
  <c r="L9" i="6"/>
  <c r="L8" i="6"/>
  <c r="N8" i="6" s="1"/>
  <c r="L7" i="6"/>
  <c r="N7" i="6" s="1"/>
  <c r="K6" i="6"/>
  <c r="L5" i="6"/>
  <c r="N5" i="6" s="1"/>
  <c r="L4" i="6"/>
  <c r="K18" i="6" l="1"/>
  <c r="P11" i="5"/>
  <c r="N9" i="6"/>
  <c r="H30" i="6"/>
  <c r="H33" i="6"/>
  <c r="P7" i="5"/>
  <c r="P17" i="5"/>
  <c r="P22" i="5"/>
  <c r="H26" i="6"/>
  <c r="N19" i="5"/>
  <c r="Q19" i="5" s="1"/>
  <c r="O26" i="5"/>
  <c r="H29" i="6"/>
  <c r="I26" i="7"/>
  <c r="P9" i="5"/>
  <c r="M27" i="9"/>
  <c r="N24" i="5"/>
  <c r="P24" i="5" s="1"/>
  <c r="N4" i="6"/>
  <c r="L6" i="6"/>
  <c r="N6" i="6" s="1"/>
  <c r="E37" i="6"/>
  <c r="E42" i="6" s="1"/>
  <c r="E45" i="6" s="1"/>
  <c r="L26" i="7"/>
  <c r="P5" i="5"/>
  <c r="P13" i="5"/>
  <c r="L26" i="5"/>
  <c r="N21" i="5"/>
  <c r="P21" i="5" s="1"/>
  <c r="I26" i="5"/>
  <c r="N25" i="5"/>
  <c r="Q25" i="5" s="1"/>
  <c r="M26" i="5"/>
  <c r="M26" i="7"/>
  <c r="N21" i="7"/>
  <c r="P21" i="7" s="1"/>
  <c r="N24" i="7"/>
  <c r="Q24" i="7" s="1"/>
  <c r="P20" i="5"/>
  <c r="N19" i="7"/>
  <c r="P19" i="7" s="1"/>
  <c r="P22" i="7"/>
  <c r="P20" i="7"/>
  <c r="P16" i="7"/>
  <c r="P9" i="7"/>
  <c r="P18" i="7"/>
  <c r="P11" i="7"/>
  <c r="N5" i="7"/>
  <c r="Q5" i="7" s="1"/>
  <c r="P7" i="7"/>
  <c r="Q14" i="5"/>
  <c r="P14" i="5"/>
  <c r="Q15" i="5"/>
  <c r="P15" i="5"/>
  <c r="Q18" i="5"/>
  <c r="P18" i="5"/>
  <c r="Q6" i="5"/>
  <c r="Q8" i="5"/>
  <c r="Q10" i="5"/>
  <c r="Q12" i="5"/>
  <c r="Q16" i="5"/>
  <c r="Q23" i="5"/>
  <c r="N4" i="5"/>
  <c r="Q4" i="5" s="1"/>
  <c r="Q6" i="7"/>
  <c r="Q8" i="7"/>
  <c r="Q10" i="7"/>
  <c r="Q12" i="7"/>
  <c r="Q13" i="7"/>
  <c r="Q14" i="7"/>
  <c r="Q15" i="7"/>
  <c r="Q17" i="7"/>
  <c r="Q21" i="7"/>
  <c r="Q23" i="7"/>
  <c r="P25" i="7"/>
  <c r="G42" i="6"/>
  <c r="I28" i="6"/>
  <c r="I29" i="6"/>
  <c r="I31" i="6"/>
  <c r="I32" i="6"/>
  <c r="I34" i="6"/>
  <c r="H35" i="6"/>
  <c r="I36" i="6"/>
  <c r="I39" i="6"/>
  <c r="H41" i="6"/>
  <c r="H44" i="6"/>
  <c r="F27" i="6"/>
  <c r="I41" i="6"/>
  <c r="P25" i="5" l="1"/>
  <c r="P19" i="5"/>
  <c r="P26" i="5" s="1"/>
  <c r="L18" i="6"/>
  <c r="N18" i="6" s="1"/>
  <c r="P4" i="5"/>
  <c r="Q19" i="7"/>
  <c r="Q21" i="5"/>
  <c r="Q24" i="5"/>
  <c r="N26" i="5"/>
  <c r="Q26" i="5" s="1"/>
  <c r="P24" i="7"/>
  <c r="N26" i="7"/>
  <c r="Q26" i="7" s="1"/>
  <c r="P5" i="7"/>
  <c r="I27" i="6"/>
  <c r="H27" i="6"/>
  <c r="H37" i="6" s="1"/>
  <c r="H42" i="6" s="1"/>
  <c r="H45" i="6" s="1"/>
  <c r="G45" i="6"/>
  <c r="F37" i="6"/>
  <c r="P26" i="7" l="1"/>
  <c r="F42" i="6"/>
  <c r="I37" i="6"/>
  <c r="F45" i="6" l="1"/>
  <c r="I45" i="6" s="1"/>
  <c r="I42" i="6"/>
  <c r="O24" i="21"/>
  <c r="O23" i="21" l="1"/>
  <c r="R23" i="21" s="1"/>
  <c r="R24" i="21"/>
  <c r="O25" i="21"/>
  <c r="R25" i="21" s="1"/>
  <c r="Q23" i="21"/>
  <c r="Q25" i="21" s="1"/>
  <c r="Q24" i="21" l="1"/>
</calcChain>
</file>

<file path=xl/comments1.xml><?xml version="1.0" encoding="utf-8"?>
<comments xmlns="http://schemas.openxmlformats.org/spreadsheetml/2006/main">
  <authors>
    <author>GLN</author>
  </authors>
  <commentList>
    <comment ref="D14" authorId="0">
      <text>
        <r>
          <rPr>
            <b/>
            <sz val="9"/>
            <color indexed="81"/>
            <rFont val="Tahoma"/>
            <family val="2"/>
            <charset val="162"/>
          </rPr>
          <t>GLN:</t>
        </r>
        <r>
          <rPr>
            <sz val="9"/>
            <color indexed="81"/>
            <rFont val="Tahoma"/>
            <family val="2"/>
            <charset val="162"/>
          </rPr>
          <t xml:space="preserve">
MYO BİNASI 15.500 M2
İYİDERE MYO 6.068 M2
TURİZM OTELCİLİK YO 10.000 M2
ÖĞRENCİ YAŞAM MERKEZİ 20.000 M2</t>
        </r>
      </text>
    </comment>
  </commentList>
</comments>
</file>

<file path=xl/comments10.xml><?xml version="1.0" encoding="utf-8"?>
<comments xmlns="http://schemas.openxmlformats.org/spreadsheetml/2006/main">
  <authors>
    <author>Strateji-4</author>
  </authors>
  <commentList>
    <comment ref="E9" authorId="0">
      <text>
        <r>
          <rPr>
            <b/>
            <sz val="9"/>
            <color indexed="81"/>
            <rFont val="Tahoma"/>
            <family val="2"/>
            <charset val="162"/>
          </rPr>
          <t>Strateji-4:</t>
        </r>
        <r>
          <rPr>
            <sz val="9"/>
            <color indexed="81"/>
            <rFont val="Tahoma"/>
            <family val="2"/>
            <charset val="162"/>
          </rPr>
          <t xml:space="preserve">
06.01.2015 tarihli ve 32 sayılı yazımız ile Turizm ve Otelc.Y.O (8000 M2) Program revizyonu talebi sonrasında kalkınma bakanlığının 02.02.2015 uygun görüşüyle 2015 yatırım programına dahil edildi.
03.06.2015 tarihli ve E.395 sayılı yazımız ile Kalkınma Bakanlığına yazı yazıldı cevaben 28.05.2015 tarihli ve E.2274 sayılı yazısı ile 8.000m2 lik alan 11.000 m2 çıkartılarak revize edilmiştir.</t>
        </r>
      </text>
    </comment>
    <comment ref="B28" authorId="0">
      <text>
        <r>
          <rPr>
            <b/>
            <sz val="9"/>
            <color indexed="81"/>
            <rFont val="Tahoma"/>
            <family val="2"/>
            <charset val="162"/>
          </rPr>
          <t>Strateji-4:</t>
        </r>
        <r>
          <rPr>
            <sz val="9"/>
            <color indexed="81"/>
            <rFont val="Tahoma"/>
            <family val="2"/>
            <charset val="162"/>
          </rPr>
          <t xml:space="preserve">
Yatırım Programında olmaması gerekiyordu.</t>
        </r>
      </text>
    </comment>
  </commentList>
</comments>
</file>

<file path=xl/comments2.xml><?xml version="1.0" encoding="utf-8"?>
<comments xmlns="http://schemas.openxmlformats.org/spreadsheetml/2006/main">
  <authors>
    <author>GLN</author>
  </authors>
  <commentList>
    <comment ref="D7" authorId="0">
      <text>
        <r>
          <rPr>
            <b/>
            <sz val="9"/>
            <color indexed="81"/>
            <rFont val="Tahoma"/>
            <family val="2"/>
            <charset val="162"/>
          </rPr>
          <t>GLN:</t>
        </r>
        <r>
          <rPr>
            <sz val="9"/>
            <color indexed="81"/>
            <rFont val="Tahoma"/>
            <family val="2"/>
            <charset val="162"/>
          </rPr>
          <t xml:space="preserve">
MYO BİNASI 15.500 M2
İYİDERE MYO 6.068 M2
TURİZM OTELCİLİK YO 10.000 M2
ÖĞRENCİ YAŞAM MERKEZİ 20.000 M2</t>
        </r>
      </text>
    </comment>
  </commentList>
</comments>
</file>

<file path=xl/comments3.xml><?xml version="1.0" encoding="utf-8"?>
<comments xmlns="http://schemas.openxmlformats.org/spreadsheetml/2006/main">
  <authors>
    <author>GLN</author>
  </authors>
  <commentList>
    <comment ref="D14" authorId="0">
      <text>
        <r>
          <rPr>
            <b/>
            <sz val="9"/>
            <color indexed="81"/>
            <rFont val="Tahoma"/>
            <family val="2"/>
            <charset val="162"/>
          </rPr>
          <t>GLN:</t>
        </r>
        <r>
          <rPr>
            <sz val="9"/>
            <color indexed="81"/>
            <rFont val="Tahoma"/>
            <family val="2"/>
            <charset val="162"/>
          </rPr>
          <t xml:space="preserve">
MYO BİNASI 15.500 M2
İYİDERE MYO 6.068 M2
TURİZM OTELCİLİK YO 10.000 M2
ÖĞRENCİ YAŞAM MERKEZİ 20.000 M2</t>
        </r>
      </text>
    </comment>
  </commentList>
</comments>
</file>

<file path=xl/comments4.xml><?xml version="1.0" encoding="utf-8"?>
<comments xmlns="http://schemas.openxmlformats.org/spreadsheetml/2006/main">
  <authors>
    <author>GLN</author>
  </authors>
  <commentList>
    <comment ref="E9" authorId="0">
      <text>
        <r>
          <rPr>
            <b/>
            <sz val="9"/>
            <color indexed="81"/>
            <rFont val="Tahoma"/>
            <family val="2"/>
            <charset val="162"/>
          </rPr>
          <t>ZFR:</t>
        </r>
        <r>
          <rPr>
            <sz val="9"/>
            <color indexed="81"/>
            <rFont val="Tahoma"/>
            <family val="2"/>
            <charset val="162"/>
          </rPr>
          <t xml:space="preserve">
REVİZE SONRASINDA GÜNEYSU FTR YO(3000M2)YATIRIM PROG.ALINDI VE 3.500.000 EKLENEREK  TOPL. PROJ.TUTARI 63.500.000 OLDU (15.03.2013 PROJE REVİZE DOSYASI)</t>
        </r>
      </text>
    </comment>
  </commentList>
</comments>
</file>

<file path=xl/comments5.xml><?xml version="1.0" encoding="utf-8"?>
<comments xmlns="http://schemas.openxmlformats.org/spreadsheetml/2006/main">
  <authors>
    <author>Strateji-4</author>
  </authors>
  <commentList>
    <comment ref="I10" authorId="0">
      <text>
        <r>
          <rPr>
            <b/>
            <sz val="9"/>
            <color indexed="81"/>
            <rFont val="Tahoma"/>
            <family val="2"/>
            <charset val="162"/>
          </rPr>
          <t>Strateji-4:</t>
        </r>
        <r>
          <rPr>
            <sz val="9"/>
            <color indexed="81"/>
            <rFont val="Tahoma"/>
            <family val="2"/>
            <charset val="162"/>
          </rPr>
          <t xml:space="preserve">
Kalkınma Bakanlığının 12.06.2014 Tarihli ve 2533 sayılı program revizyıonuyla Proje tutarı 11.000.000 tl oldu +73.000 tl taşıt</t>
        </r>
      </text>
    </comment>
    <comment ref="Q11" authorId="0">
      <text>
        <r>
          <rPr>
            <b/>
            <sz val="9"/>
            <color indexed="81"/>
            <rFont val="Tahoma"/>
            <family val="2"/>
            <charset val="162"/>
          </rPr>
          <t>Strateji-4:</t>
        </r>
        <r>
          <rPr>
            <sz val="9"/>
            <color indexed="81"/>
            <rFont val="Tahoma"/>
            <family val="2"/>
            <charset val="162"/>
          </rPr>
          <t xml:space="preserve">
İşyeri Makine Teçhizat Alımları 34.617,28 TL eklendi.</t>
        </r>
      </text>
    </comment>
    <comment ref="O14" authorId="0">
      <text>
        <r>
          <rPr>
            <b/>
            <sz val="9"/>
            <color indexed="81"/>
            <rFont val="Tahoma"/>
            <family val="2"/>
            <charset val="162"/>
          </rPr>
          <t>Strateji-4:</t>
        </r>
        <r>
          <rPr>
            <sz val="9"/>
            <color indexed="81"/>
            <rFont val="Tahoma"/>
            <family val="2"/>
            <charset val="162"/>
          </rPr>
          <t xml:space="preserve">
 LİKİTTEN EKLENEN BU ÖDENEK ( 300.000 TL ) DİŞ HEKİMLİĞİ FAKÜLTESİNİN </t>
        </r>
        <r>
          <rPr>
            <sz val="10"/>
            <color indexed="81"/>
            <rFont val="Tahoma"/>
            <family val="2"/>
            <charset val="162"/>
          </rPr>
          <t xml:space="preserve">09.4.1.00-2-06.1 </t>
        </r>
        <r>
          <rPr>
            <sz val="9"/>
            <color indexed="81"/>
            <rFont val="Tahoma"/>
            <family val="2"/>
            <charset val="162"/>
          </rPr>
          <t xml:space="preserve">EKONOMİK KODUNA AKTARILACAK.   </t>
        </r>
      </text>
    </comment>
    <comment ref="H17" authorId="0">
      <text>
        <r>
          <rPr>
            <b/>
            <sz val="9"/>
            <color indexed="81"/>
            <rFont val="Tahoma"/>
            <family val="2"/>
            <charset val="162"/>
          </rPr>
          <t>Strateji-4:</t>
        </r>
        <r>
          <rPr>
            <sz val="9"/>
            <color indexed="81"/>
            <rFont val="Tahoma"/>
            <family val="2"/>
            <charset val="162"/>
          </rPr>
          <t xml:space="preserve">
7.000.000 tl proje tutarına ilave olarak Kalkınma Bakanlığının 12.06.2014 tarihli ve 2533 sayılı yazısıyla Program Revize gerçekleştirildi.2014  yılında=3.000.000  tl (teknik bilimler ) / 2015=4.000.000 tl (Teknik bilimler) kaynak revizyonu yapıldı.    2014  yılında=3.000.000 tl/2015=4.000.000 tl</t>
        </r>
      </text>
    </comment>
    <comment ref="K17" authorId="0">
      <text>
        <r>
          <rPr>
            <b/>
            <sz val="9"/>
            <color indexed="81"/>
            <rFont val="Tahoma"/>
            <family val="2"/>
            <charset val="162"/>
          </rPr>
          <t>Strateji-4:</t>
        </r>
        <r>
          <rPr>
            <sz val="9"/>
            <color indexed="81"/>
            <rFont val="Tahoma"/>
            <family val="2"/>
            <charset val="162"/>
          </rPr>
          <t xml:space="preserve">
2.000.000 tl bütçe ödeneğine ilave olarak Kalkınma Bakanlığının 12.06.2014 tarihli ve 2533 sayılı yazısıyla Program Revize gerçekleştirildi.2014  yılında=3.000.000 tl/2015=4.000.000 tl</t>
        </r>
      </text>
    </comment>
    <comment ref="M17" authorId="0">
      <text>
        <r>
          <rPr>
            <b/>
            <sz val="9"/>
            <color indexed="81"/>
            <rFont val="Tahoma"/>
            <family val="2"/>
            <charset val="162"/>
          </rPr>
          <t>Strateji-4:</t>
        </r>
        <r>
          <rPr>
            <sz val="9"/>
            <color indexed="81"/>
            <rFont val="Tahoma"/>
            <family val="2"/>
            <charset val="162"/>
          </rPr>
          <t xml:space="preserve">
2.000.000 tl bütçe ödeneğine ilave olarak Kalkınma Bakanlığının 12.06.2014 tarihli ve 2533 sayılı yazısıyla Program Revize gerçekleştirildi.2014  yılında=3.000.000 tl/2015=4.000.000 tl</t>
        </r>
      </text>
    </comment>
    <comment ref="C33" authorId="0">
      <text>
        <r>
          <rPr>
            <b/>
            <sz val="9"/>
            <color indexed="81"/>
            <rFont val="Tahoma"/>
            <family val="2"/>
            <charset val="162"/>
          </rPr>
          <t>Strateji-4:</t>
        </r>
        <r>
          <rPr>
            <sz val="9"/>
            <color indexed="81"/>
            <rFont val="Tahoma"/>
            <family val="2"/>
            <charset val="162"/>
          </rPr>
          <t xml:space="preserve">
Kalkınma Bakanlığının 19.06.2014 tarih ve 88799753-602.07.02-2664 sayılı  yazısı ile tarihi bina restitüsyonu 2014 yılı yatırım programına alındı.</t>
        </r>
      </text>
    </comment>
  </commentList>
</comments>
</file>

<file path=xl/comments6.xml><?xml version="1.0" encoding="utf-8"?>
<comments xmlns="http://schemas.openxmlformats.org/spreadsheetml/2006/main">
  <authors>
    <author>Strateji-4</author>
  </authors>
  <commentList>
    <comment ref="E9" authorId="0">
      <text>
        <r>
          <rPr>
            <b/>
            <sz val="9"/>
            <color indexed="81"/>
            <rFont val="Tahoma"/>
            <family val="2"/>
            <charset val="162"/>
          </rPr>
          <t>Strateji-4:</t>
        </r>
        <r>
          <rPr>
            <sz val="9"/>
            <color indexed="81"/>
            <rFont val="Tahoma"/>
            <family val="2"/>
            <charset val="162"/>
          </rPr>
          <t xml:space="preserve">
06.01.2015 tarihli ve 32 sayılı yazımız ile Turizm ve Otelc.Y.O (8000 M2) Program revizyonu talebi sonrasında kalkınma bakanlığının 02.02.2015 uygun görüşüyle 2015 yatırım programına dahil edildi.</t>
        </r>
      </text>
    </comment>
    <comment ref="H9" authorId="0">
      <text>
        <r>
          <rPr>
            <b/>
            <sz val="9"/>
            <color indexed="81"/>
            <rFont val="Tahoma"/>
            <family val="2"/>
            <charset val="162"/>
          </rPr>
          <t xml:space="preserve">Strateji-4:          </t>
        </r>
        <r>
          <rPr>
            <sz val="9"/>
            <color indexed="81"/>
            <rFont val="Tahoma"/>
            <family val="2"/>
            <charset val="162"/>
          </rPr>
          <t>Program revizyonu öncesi Proje tutarı =110.000.000</t>
        </r>
      </text>
    </comment>
    <comment ref="J25" authorId="0">
      <text>
        <r>
          <rPr>
            <b/>
            <sz val="9"/>
            <color indexed="81"/>
            <rFont val="Tahoma"/>
            <family val="2"/>
            <charset val="162"/>
          </rPr>
          <t>Strateji-4:</t>
        </r>
        <r>
          <rPr>
            <sz val="9"/>
            <color indexed="81"/>
            <rFont val="Tahoma"/>
            <family val="2"/>
            <charset val="162"/>
          </rPr>
          <t xml:space="preserve">
Yatırım Programında olmaması gerekiyordu.</t>
        </r>
      </text>
    </comment>
    <comment ref="J27" authorId="0">
      <text>
        <r>
          <rPr>
            <b/>
            <sz val="9"/>
            <color indexed="81"/>
            <rFont val="Tahoma"/>
            <family val="2"/>
            <charset val="162"/>
          </rPr>
          <t>Strateji-4:</t>
        </r>
        <r>
          <rPr>
            <sz val="9"/>
            <color indexed="81"/>
            <rFont val="Tahoma"/>
            <family val="2"/>
            <charset val="162"/>
          </rPr>
          <t xml:space="preserve">
 YANLIŞLIKLA YATIRIM PROGRAMINDA OLAN HİBE OLARAK VERİLEN  85.000 TL  LİK TAŞIT TUTARA TOPLAMA DAHİL DEĞİLDİR.</t>
        </r>
      </text>
    </comment>
    <comment ref="B29" authorId="0">
      <text>
        <r>
          <rPr>
            <b/>
            <sz val="9"/>
            <color indexed="81"/>
            <rFont val="Tahoma"/>
            <family val="2"/>
            <charset val="162"/>
          </rPr>
          <t>Strateji-4:</t>
        </r>
        <r>
          <rPr>
            <sz val="9"/>
            <color indexed="81"/>
            <rFont val="Tahoma"/>
            <family val="2"/>
            <charset val="162"/>
          </rPr>
          <t xml:space="preserve">
Yatırım Programında olmaması gerekiyordu.</t>
        </r>
      </text>
    </comment>
    <comment ref="B30" authorId="0">
      <text>
        <r>
          <rPr>
            <b/>
            <sz val="9"/>
            <color indexed="81"/>
            <rFont val="Tahoma"/>
            <family val="2"/>
            <charset val="162"/>
          </rPr>
          <t>Strateji-4:</t>
        </r>
        <r>
          <rPr>
            <sz val="9"/>
            <color indexed="81"/>
            <rFont val="Tahoma"/>
            <family val="2"/>
            <charset val="162"/>
          </rPr>
          <t xml:space="preserve">
likit karşılığı ödenek aktarımı yapılacak.</t>
        </r>
      </text>
    </comment>
  </commentList>
</comments>
</file>

<file path=xl/comments7.xml><?xml version="1.0" encoding="utf-8"?>
<comments xmlns="http://schemas.openxmlformats.org/spreadsheetml/2006/main">
  <authors>
    <author>Strateji-4</author>
  </authors>
  <commentList>
    <comment ref="E9" authorId="0">
      <text>
        <r>
          <rPr>
            <b/>
            <sz val="9"/>
            <color indexed="81"/>
            <rFont val="Tahoma"/>
            <family val="2"/>
            <charset val="162"/>
          </rPr>
          <t>Strateji-4:</t>
        </r>
        <r>
          <rPr>
            <sz val="9"/>
            <color indexed="81"/>
            <rFont val="Tahoma"/>
            <family val="2"/>
            <charset val="162"/>
          </rPr>
          <t xml:space="preserve">
06.01.2015 tarihli ve 32 sayılı yazımız ile Turizm ve Otelc.Y.O (8000 M2) Program revizyonu talebi sonrasında kalkınma bakanlığının 02.02.2015 uygun görüşüyle 2015 yatırım programına dahil edildi.
03.06.2015 tarihli ve E.395 sayılı yazımız ile Kalkınma Bakanlığına yazı yazıldı cevaben 28.05.2015 tarihli ve E.2274 sayılı yazısı ile 8.000m2 lik alan 11.000 m2 çıkartılarak revize edilmiştir.</t>
        </r>
      </text>
    </comment>
    <comment ref="J23" authorId="0">
      <text>
        <r>
          <rPr>
            <b/>
            <sz val="9"/>
            <color indexed="81"/>
            <rFont val="Tahoma"/>
            <family val="2"/>
            <charset val="162"/>
          </rPr>
          <t>Strateji-4:</t>
        </r>
        <r>
          <rPr>
            <sz val="9"/>
            <color indexed="81"/>
            <rFont val="Tahoma"/>
            <family val="2"/>
            <charset val="162"/>
          </rPr>
          <t xml:space="preserve">
Yatırım Programında olmaması gerekiyordu.</t>
        </r>
      </text>
    </comment>
    <comment ref="B29" authorId="0">
      <text>
        <r>
          <rPr>
            <b/>
            <sz val="9"/>
            <color indexed="81"/>
            <rFont val="Tahoma"/>
            <family val="2"/>
            <charset val="162"/>
          </rPr>
          <t>Strateji-4:</t>
        </r>
        <r>
          <rPr>
            <sz val="9"/>
            <color indexed="81"/>
            <rFont val="Tahoma"/>
            <family val="2"/>
            <charset val="162"/>
          </rPr>
          <t xml:space="preserve">
Yatırım Programında olmaması gerekiyordu.</t>
        </r>
      </text>
    </comment>
  </commentList>
</comments>
</file>

<file path=xl/comments8.xml><?xml version="1.0" encoding="utf-8"?>
<comments xmlns="http://schemas.openxmlformats.org/spreadsheetml/2006/main">
  <authors>
    <author>Strateji-4</author>
  </authors>
  <commentList>
    <comment ref="E9" authorId="0">
      <text>
        <r>
          <rPr>
            <b/>
            <sz val="9"/>
            <color indexed="81"/>
            <rFont val="Tahoma"/>
            <family val="2"/>
            <charset val="162"/>
          </rPr>
          <t>Strateji-4:</t>
        </r>
        <r>
          <rPr>
            <sz val="9"/>
            <color indexed="81"/>
            <rFont val="Tahoma"/>
            <family val="2"/>
            <charset val="162"/>
          </rPr>
          <t xml:space="preserve">
06.01.2015 tarihli ve 32 sayılı yazımız ile Turizm ve Otelc.Y.O (8000 M2) Program revizyonu talebi sonrasında kalkınma bakanlığının 02.02.2015 uygun görüşüyle 2015 yatırım programına dahil edildi.
03.06.2015 tarihli ve E.395 sayılı yazımız ile Kalkınma Bakanlığına yazı yazıldı cevaben 28.05.2015 tarihli ve E.2274 sayılı yazısı ile 8.000m2 lik alan 11.000 m2 çıkartılarak revize edilmiştir.</t>
        </r>
      </text>
    </comment>
    <comment ref="P22" authorId="0">
      <text>
        <r>
          <rPr>
            <b/>
            <sz val="9"/>
            <color indexed="81"/>
            <rFont val="Tahoma"/>
            <family val="2"/>
            <charset val="162"/>
          </rPr>
          <t>Strateji-4:</t>
        </r>
        <r>
          <rPr>
            <sz val="9"/>
            <color indexed="81"/>
            <rFont val="Tahoma"/>
            <family val="2"/>
            <charset val="162"/>
          </rPr>
          <t xml:space="preserve">
333 emanetler hesabında takip ediliyor.(830 da bap harcaması yoktur.)
Yönetmelik Temel Raporları
Yardımcı Defterler                 333 -Emanet Hesapları
20-Bilimsel Araştırma Projeleri
Rapor al ( Alınan raporda 201500</t>
        </r>
        <r>
          <rPr>
            <b/>
            <sz val="9"/>
            <color indexed="81"/>
            <rFont val="Tahoma"/>
            <family val="2"/>
            <charset val="162"/>
          </rPr>
          <t>12164-hesaba alınan numara ((</t>
        </r>
        <r>
          <rPr>
            <sz val="9"/>
            <color indexed="81"/>
            <rFont val="Tahoma"/>
            <family val="2"/>
            <charset val="162"/>
          </rPr>
          <t xml:space="preserve">öztürk medikal -07.03-2016 -501,50 tl) </t>
        </r>
        <r>
          <rPr>
            <b/>
            <sz val="9"/>
            <color indexed="81"/>
            <rFont val="Tahoma"/>
            <family val="2"/>
            <charset val="162"/>
          </rPr>
          <t>ancak bütün ödemeler(yolluk vs.) bu hesaba alındığından sermaye mi  yoksa mal ve hizmet alımı mı olduğu anlaşılmıyor.(onun için baptan sorulacak)</t>
        </r>
      </text>
    </comment>
    <comment ref="B27" authorId="0">
      <text>
        <r>
          <rPr>
            <b/>
            <sz val="9"/>
            <color indexed="81"/>
            <rFont val="Tahoma"/>
            <family val="2"/>
            <charset val="162"/>
          </rPr>
          <t>Strateji-4:</t>
        </r>
        <r>
          <rPr>
            <sz val="9"/>
            <color indexed="81"/>
            <rFont val="Tahoma"/>
            <family val="2"/>
            <charset val="162"/>
          </rPr>
          <t xml:space="preserve">
Yatırım Programında olmaması gerekiyordu.</t>
        </r>
      </text>
    </comment>
  </commentList>
</comments>
</file>

<file path=xl/comments9.xml><?xml version="1.0" encoding="utf-8"?>
<comments xmlns="http://schemas.openxmlformats.org/spreadsheetml/2006/main">
  <authors>
    <author>Strateji-4</author>
  </authors>
  <commentList>
    <comment ref="E9" authorId="0">
      <text>
        <r>
          <rPr>
            <b/>
            <sz val="9"/>
            <color indexed="81"/>
            <rFont val="Tahoma"/>
            <family val="2"/>
            <charset val="162"/>
          </rPr>
          <t>Strateji-4:</t>
        </r>
        <r>
          <rPr>
            <sz val="9"/>
            <color indexed="81"/>
            <rFont val="Tahoma"/>
            <family val="2"/>
            <charset val="162"/>
          </rPr>
          <t xml:space="preserve">
06.01.2015 tarihli ve 32 sayılı yazımız ile Turizm ve Otelc.Y.O (8000 M2) Program revizyonu talebi sonrasında kalkınma bakanlığının 02.02.2015 uygun görüşüyle 2015 yatırım programına dahil edildi.
03.06.2015 tarihli ve E.395 sayılı yazımız ile Kalkınma Bakanlığına yazı yazıldı cevaben 28.05.2015 tarihli ve E.2274 sayılı yazısı ile 8.000m2 lik alan 11.000 m2 çıkartılarak revize edilmiştir.</t>
        </r>
      </text>
    </comment>
    <comment ref="W10" authorId="0">
      <text>
        <r>
          <rPr>
            <b/>
            <sz val="9"/>
            <color indexed="81"/>
            <rFont val="Tahoma"/>
            <family val="2"/>
            <charset val="162"/>
          </rPr>
          <t>Strateji-4:</t>
        </r>
        <r>
          <rPr>
            <sz val="9"/>
            <color indexed="81"/>
            <rFont val="Tahoma"/>
            <family val="2"/>
            <charset val="162"/>
          </rPr>
          <t xml:space="preserve">
06.01.2015 tarihli ve 32 sayılı yazımız ile Turizm ve Otelc.Y.O (8000 M2) Program revizyonu talebi sonrasında kalkınma bakanlığının 02.02.2015 uygun görüşüyle 2015 yatırım programına dahil edildi.
03.06.2015 tarihli ve E.395 sayılı yazımız ile Kalkınma Bakanlığına yazı yazıldı cevaben 28.05.2015 tarihli ve E.2274 sayılı yazısı ile 8.000m2 lik alan 11.000 m2 çıkartılarak revize edilmiştir.</t>
        </r>
      </text>
    </comment>
    <comment ref="J24" authorId="0">
      <text>
        <r>
          <rPr>
            <b/>
            <sz val="9"/>
            <color indexed="81"/>
            <rFont val="Tahoma"/>
            <family val="2"/>
            <charset val="162"/>
          </rPr>
          <t>Strateji-4:</t>
        </r>
        <r>
          <rPr>
            <sz val="9"/>
            <color indexed="81"/>
            <rFont val="Tahoma"/>
            <family val="2"/>
            <charset val="162"/>
          </rPr>
          <t xml:space="preserve">
Yatırım Programında olmaması gerekiyordu.</t>
        </r>
      </text>
    </comment>
    <comment ref="B30" authorId="0">
      <text>
        <r>
          <rPr>
            <b/>
            <sz val="9"/>
            <color indexed="81"/>
            <rFont val="Tahoma"/>
            <family val="2"/>
            <charset val="162"/>
          </rPr>
          <t>Strateji-4:</t>
        </r>
        <r>
          <rPr>
            <sz val="9"/>
            <color indexed="81"/>
            <rFont val="Tahoma"/>
            <family val="2"/>
            <charset val="162"/>
          </rPr>
          <t xml:space="preserve">
Yatırım Programında olmaması gerekiyordu.</t>
        </r>
      </text>
    </comment>
  </commentList>
</comments>
</file>

<file path=xl/sharedStrings.xml><?xml version="1.0" encoding="utf-8"?>
<sst xmlns="http://schemas.openxmlformats.org/spreadsheetml/2006/main" count="2127" uniqueCount="295">
  <si>
    <t>PROJE NO</t>
  </si>
  <si>
    <t>PROJE ADI</t>
  </si>
  <si>
    <t>KARAKTERİSTİĞİ</t>
  </si>
  <si>
    <t>Çeş.Ünitelerin Etüt Projeleri</t>
  </si>
  <si>
    <t>2008H034600</t>
  </si>
  <si>
    <t>Kampüs Altyapısı</t>
  </si>
  <si>
    <t>Knl.Su,Çev.D.Gaz. Yol Isı merz. Tlf.</t>
  </si>
  <si>
    <t>2008H034610</t>
  </si>
  <si>
    <t>Derslik ve Merkezi Birimler</t>
  </si>
  <si>
    <t>2009H050110</t>
  </si>
  <si>
    <t>Açık ve Kapalı Spor Tesisleri</t>
  </si>
  <si>
    <t>Muhtelif İşler</t>
  </si>
  <si>
    <t>Etüt Prj ve Müş.</t>
  </si>
  <si>
    <t>Buro Mefrş.Alımı</t>
  </si>
  <si>
    <t>Bilgi Tek.Alımı</t>
  </si>
  <si>
    <t>Bil.Yazılım Alımı</t>
  </si>
  <si>
    <t>Labr.Cihaz alımı</t>
  </si>
  <si>
    <t>Taşıt Alımı</t>
  </si>
  <si>
    <t>Basılı yayın Alımı</t>
  </si>
  <si>
    <t>Elektronik ortamda yayın alımı</t>
  </si>
  <si>
    <t>Büyük Onarım</t>
  </si>
  <si>
    <t>Kamulaştırma</t>
  </si>
  <si>
    <t>Eğitim Sektörü</t>
  </si>
  <si>
    <t>Spor Sektörü</t>
  </si>
  <si>
    <t>Teknolojik Araştırma Sektörü</t>
  </si>
  <si>
    <t>SORUMLU BİRİMLER</t>
  </si>
  <si>
    <t>2010 YATIRIM TUTARI</t>
  </si>
  <si>
    <t>BAŞLAMA / BİTİŞ TARİHİ</t>
  </si>
  <si>
    <t>TERTİBİ</t>
  </si>
  <si>
    <t>38.60.00.01-09.4.1.00-2-06.5.1.01</t>
  </si>
  <si>
    <t>38.60.00.01-09.4.1.00-2-06.5.7.90</t>
  </si>
  <si>
    <t>38.60.00.01-09.4.1.00-2-06.5.7.01</t>
  </si>
  <si>
    <t>38.60.00.01-09.4.1.00-2-06.1.1.01</t>
  </si>
  <si>
    <t>38.60.00.01-09.4.1.00-2-06.1.2.02</t>
  </si>
  <si>
    <t>38.60.00.01-09.4.1.00-2-06.1.2.04</t>
  </si>
  <si>
    <t>İşyeri Makine Teç.Alımı</t>
  </si>
  <si>
    <t>38.60.00.01-09.4.1.00-2-06.1.2.05</t>
  </si>
  <si>
    <t>38.60.00.01-09.4.1.00-2-06.3.1.01</t>
  </si>
  <si>
    <t>38.60.00.01-09.4.1.00-2-06.1.4.01</t>
  </si>
  <si>
    <t>38.60.00.01-09.6.0.07-2-06.1.2.02</t>
  </si>
  <si>
    <t>38.60.00.01-08.2.0.00-2-06.1.6.01</t>
  </si>
  <si>
    <t>38.60.00.01-08.2.0.00-2-06.1.6.03</t>
  </si>
  <si>
    <t>38.60.00.01-09.4.1.00-2-06.7.7.01</t>
  </si>
  <si>
    <t>38.60.00.01-09.6.0.00-2-06.5.7.02</t>
  </si>
  <si>
    <t>38.60.00.01-09.8.8.00-2-06.1.2.04</t>
  </si>
  <si>
    <t>38.60.00.01-09.8.8.01-2-06.1.2.04</t>
  </si>
  <si>
    <t>GENEL TOPLAM</t>
  </si>
  <si>
    <t>2010-2010</t>
  </si>
  <si>
    <t>2010-2012</t>
  </si>
  <si>
    <t xml:space="preserve">RİZE ÜNİVERSİTESİ 2010 YILI YATIRIM PROGRAMI </t>
  </si>
  <si>
    <t>İnş. (1000 Sey.Sp.Sal.) +Bas.vol.tenis.Fut. Sah.</t>
  </si>
  <si>
    <t>2009-2011</t>
  </si>
  <si>
    <t>PROJE TUTARI</t>
  </si>
  <si>
    <t>2010H031640</t>
  </si>
  <si>
    <t>2008-2012</t>
  </si>
  <si>
    <t>İnş.(18000m2)+ Don.</t>
  </si>
  <si>
    <t>2010H031650</t>
  </si>
  <si>
    <t>2010K121330</t>
  </si>
  <si>
    <t>Merkezi araştırma Laboratuvarı (2)</t>
  </si>
  <si>
    <t>İleri Araşt.Mak. Tşçh.İnş.(1000m2)</t>
  </si>
  <si>
    <t>İleri Araşt.Mak. Tşçh.İnş.</t>
  </si>
  <si>
    <t>2010K121320</t>
  </si>
  <si>
    <t>Yapı İşleri Teknik Daire Bşk.</t>
  </si>
  <si>
    <t>İdari ve Mali İşler Daire Bşk.</t>
  </si>
  <si>
    <t>İdari ve Mali İşler Daire Bşk./ Bilgi İşlem Daire Bşk.</t>
  </si>
  <si>
    <t>Sağlık Kültür Spor  Daire Bşk./ Bilgi İşlem Daire Bşk.</t>
  </si>
  <si>
    <t>Kütüphane Dökümantasyon Daire Başkanlığı</t>
  </si>
  <si>
    <t>Yapı İşleri Teknik Daire Bşk./Sağlık Kültür Spor  Daire Bşk</t>
  </si>
  <si>
    <t>BAP Birimi / İdari ve Mali İşler Daire Bşk.</t>
  </si>
  <si>
    <t>İdari ve Mali İşler Daire Bşk./Yapı İşleri Teknik Daire Bşk</t>
  </si>
  <si>
    <t>Rektörlük Bilimsel Araştırma Projeleri (1)</t>
  </si>
  <si>
    <t xml:space="preserve">RİZE ÜNİVERSİTESİ 2009 YILI YATIRIM PROGRAMI </t>
  </si>
  <si>
    <t>2009 YATIRIM</t>
  </si>
  <si>
    <t>SORUMLU BİRİM/BİRİMLER</t>
  </si>
  <si>
    <t>Tertibi</t>
  </si>
  <si>
    <t>YIL İÇİNDE DÜŞÜLEN</t>
  </si>
  <si>
    <t xml:space="preserve">YIL İÇİNDE EKLENEN </t>
  </si>
  <si>
    <t>TOPLAM</t>
  </si>
  <si>
    <t>Yıl Sonu       Harcama</t>
  </si>
  <si>
    <t>Kalan Ödenek</t>
  </si>
  <si>
    <t>2009H032180</t>
  </si>
  <si>
    <t>Yapı İşleri</t>
  </si>
  <si>
    <t>06.5.1.01</t>
  </si>
  <si>
    <t>2009K121050</t>
  </si>
  <si>
    <t>Merkezi araştırma Laboratuvarı</t>
  </si>
  <si>
    <t>Etüd</t>
  </si>
  <si>
    <t>Bil.Araş.Proj.Bir./Yapı İşleri</t>
  </si>
  <si>
    <t>06.5.7.90</t>
  </si>
  <si>
    <t>İnş.(25000m2)+Don.</t>
  </si>
  <si>
    <t>06.5.7.01</t>
  </si>
  <si>
    <t>İnş. (1000 Sey.Sp.Sal.)</t>
  </si>
  <si>
    <t>Yapı İşleri / Sağlık Kültür Spor</t>
  </si>
  <si>
    <t>2009H032190</t>
  </si>
  <si>
    <t>İdari Mali İşler</t>
  </si>
  <si>
    <t>06.1.1.01</t>
  </si>
  <si>
    <t>İdari Mali İşler / Bilgi İşlem</t>
  </si>
  <si>
    <t>06.1.0.02</t>
  </si>
  <si>
    <t>06.3.1.01</t>
  </si>
  <si>
    <t>06.1.2.04</t>
  </si>
  <si>
    <t>06.1.4.01</t>
  </si>
  <si>
    <t>Kütüphane Dökümantasyon</t>
  </si>
  <si>
    <t>06.1.6.01</t>
  </si>
  <si>
    <t>06.1.6.03</t>
  </si>
  <si>
    <t>06.7.7.01</t>
  </si>
  <si>
    <t>06.4.2.01</t>
  </si>
  <si>
    <t>2009 YILI YATIRIM PROGRAMINDA YER ALAN PROJELERİN GERÇEKLEŞME DURUMUNU GÖSTEREN CETVEL</t>
  </si>
  <si>
    <t>Proje No</t>
  </si>
  <si>
    <t>Projenin Adı</t>
  </si>
  <si>
    <t xml:space="preserve">Bütçe Ödeneği </t>
  </si>
  <si>
    <t xml:space="preserve">Düşülen Ödenek </t>
  </si>
  <si>
    <t>Eklenen Ödenek</t>
  </si>
  <si>
    <t>Toplam Ödenek</t>
  </si>
  <si>
    <t>Harcama</t>
  </si>
  <si>
    <t>Kalan</t>
  </si>
  <si>
    <t>Gerçekleşme Oranı  %</t>
  </si>
  <si>
    <t>EĞİTİM SEKTÖRÜ</t>
  </si>
  <si>
    <t>Çeşitli Ünitelerin Etüt Projeleri</t>
  </si>
  <si>
    <t xml:space="preserve">Muhtelif İşler / Buro Mefrş.Alımı     </t>
  </si>
  <si>
    <t>Muhtelif İşler / Bilgi Tek.Alımı</t>
  </si>
  <si>
    <t>Muhtelif İşler / Bil.Yazılım Alımı</t>
  </si>
  <si>
    <t>Muhtelif İşler / Labr.Cihaz Alımı</t>
  </si>
  <si>
    <t>Muhtelif İşler / Taşıt Alımı</t>
  </si>
  <si>
    <t>Muhtelif İşler / Basılı Yay.Alımı</t>
  </si>
  <si>
    <t>Muhtelif İşler / Elektr.Ort. Yayın Alımı</t>
  </si>
  <si>
    <t>Muhtelif İşler / Büyük Onarım</t>
  </si>
  <si>
    <t>EĞİTİM SEKTÖR TOPLAMI</t>
  </si>
  <si>
    <t>SPOR SEKTÖRÜ</t>
  </si>
  <si>
    <t>Açık ve Kapalı  Spor Tesisleri</t>
  </si>
  <si>
    <t>TEKNOLOJİK VE ARAŞTIRMA SEKTÖRÜ</t>
  </si>
  <si>
    <t>Merkezi Araştırma Laboratuvarı</t>
  </si>
  <si>
    <t>SEKTÖR TOPLAMI</t>
  </si>
  <si>
    <t>KAMULAŞTIRMA</t>
  </si>
  <si>
    <t>38.60.00.01-09.4.1.00-2.06.4.2.01</t>
  </si>
  <si>
    <t>31.12.2010 Harcama</t>
  </si>
  <si>
    <t xml:space="preserve">RİZE ÜNİVERSİTESİ 2011 YILI YATIRIM PROGRAMI </t>
  </si>
  <si>
    <t>2011H036090</t>
  </si>
  <si>
    <t>2011-2011</t>
  </si>
  <si>
    <t>2011 YATIRIM TUTARI</t>
  </si>
  <si>
    <t>İnş.(15500m2)+ Don.</t>
  </si>
  <si>
    <t>2011H036100</t>
  </si>
  <si>
    <t>2009-2013</t>
  </si>
  <si>
    <t>İnş. (1000 Sey.Sp.Sal.) +Fut.Sah.+Y.01.Kp.Yüz.Hav.+Su Spor.Mrk)</t>
  </si>
  <si>
    <t>Taşıt Alımı (1)</t>
  </si>
  <si>
    <t>Yapı İşleri Teknik Daire Bşk./Sağlık Kültür ve Spor Daire Bşk.</t>
  </si>
  <si>
    <t>Yapı İşleri Teknik Daire Bşk./      Sağlık Kültür ve Spor Daire Bşk.</t>
  </si>
  <si>
    <t>İdari ve Mali İşler Daire Bşk./          Yapı İşleri Teknik Daire Bşk.</t>
  </si>
  <si>
    <t>İdari ve Mali İşler Daire Bşk./       Bilgi İşlem Daire Bşk.</t>
  </si>
  <si>
    <t>İdari ve Mali İşler Daire Bşk./        Bilgi İşlem Daire Bşk.</t>
  </si>
  <si>
    <t>2011K120850</t>
  </si>
  <si>
    <t>Rektörlük Bilimsel Araştırma Projeleri (3)</t>
  </si>
  <si>
    <t>İleri Araştırma</t>
  </si>
  <si>
    <r>
      <rPr>
        <b/>
        <sz val="11"/>
        <color theme="1"/>
        <rFont val="Calibri"/>
        <family val="2"/>
        <charset val="162"/>
        <scheme val="minor"/>
      </rPr>
      <t xml:space="preserve"> (1)  -</t>
    </r>
    <r>
      <rPr>
        <sz val="11"/>
        <color theme="1"/>
        <rFont val="Calibri"/>
        <family val="2"/>
        <charset val="162"/>
        <scheme val="minor"/>
      </rPr>
      <t xml:space="preserve">   T12 alımı (Kamyon şasi-kabin tam yüklü ağırlığı en az 3.501 kg) Merkezi Yönetim Bütçesinden; T02 (Binek otomobil) ve T05 Minibüs (Sürücü dahil en fazla 15 kişilik) alımları ise yurtiçi hibe olarak karşılanılacaktır.</t>
    </r>
  </si>
  <si>
    <r>
      <rPr>
        <b/>
        <sz val="11"/>
        <color theme="1"/>
        <rFont val="Calibri"/>
        <family val="2"/>
        <charset val="162"/>
        <scheme val="minor"/>
      </rPr>
      <t xml:space="preserve"> (2)  - </t>
    </r>
    <r>
      <rPr>
        <sz val="11"/>
        <color theme="1"/>
        <rFont val="Calibri"/>
        <family val="2"/>
        <charset val="162"/>
        <scheme val="minor"/>
      </rPr>
      <t xml:space="preserve"> Revize proje etüdü DPT tarafından onaylandıktan sonra harcama yapılacaktır.</t>
    </r>
  </si>
  <si>
    <r>
      <rPr>
        <b/>
        <sz val="11"/>
        <color theme="1"/>
        <rFont val="Calibri"/>
        <family val="2"/>
        <charset val="162"/>
        <scheme val="minor"/>
      </rPr>
      <t xml:space="preserve"> (3)  -</t>
    </r>
    <r>
      <rPr>
        <sz val="11"/>
        <color theme="1"/>
        <rFont val="Calibri"/>
        <family val="2"/>
        <charset val="162"/>
        <scheme val="minor"/>
      </rPr>
      <t xml:space="preserve">   Bilimsel Araştırma Projeleri Yönetmeliğinin 11. maddesi gereği özel ödenek kaydedilen ödeneklerden karşılanacaktır.</t>
    </r>
  </si>
  <si>
    <t xml:space="preserve">   05.07.2011 Harcama</t>
  </si>
  <si>
    <t>38.60.00.01-09.4.1.00-2-06.1.1.03</t>
  </si>
  <si>
    <t>2012 Teklif</t>
  </si>
  <si>
    <t>Açıklama</t>
  </si>
  <si>
    <t>İleri Araştırma, Mak.Teçhizat,Tadilat</t>
  </si>
  <si>
    <t xml:space="preserve">RİZE ÜNİVERSİTESİ 2012 YILI YATIRIM PROGRAMI </t>
  </si>
  <si>
    <t xml:space="preserve">    Harcama</t>
  </si>
  <si>
    <t xml:space="preserve">Merkezi araştırma Laboratuvarı </t>
  </si>
  <si>
    <t>Yapı İşleri Teknik Daire Bşk</t>
  </si>
  <si>
    <r>
      <rPr>
        <b/>
        <sz val="11"/>
        <color theme="1"/>
        <rFont val="Calibri"/>
        <family val="2"/>
        <charset val="162"/>
        <scheme val="minor"/>
      </rPr>
      <t xml:space="preserve"> (1)  -</t>
    </r>
    <r>
      <rPr>
        <sz val="11"/>
        <color theme="1"/>
        <rFont val="Calibri"/>
        <family val="2"/>
        <charset val="162"/>
        <scheme val="minor"/>
      </rPr>
      <t xml:space="preserve">   Bilimsel Araştırma Projeleri Yönetmeliğinin 11. maddesi gereği özel ödenek kaydedilen ödeneklerden karşılanacaktır.</t>
    </r>
  </si>
  <si>
    <t>2012H032730</t>
  </si>
  <si>
    <t>2012-2012</t>
  </si>
  <si>
    <t>2008-2014</t>
  </si>
  <si>
    <t>Knl.,E.,Su,Çev.D.,D.Gaz.,Yol, Isı Mrk.,Art.,Trf., Tlf.</t>
  </si>
  <si>
    <t>2012 YATIRIM TUTARI</t>
  </si>
  <si>
    <t>2012H032740</t>
  </si>
  <si>
    <t>2012-2014</t>
  </si>
  <si>
    <t>İnş. (Kap.Sp.Tesisi)</t>
  </si>
  <si>
    <t>İleri Araştır,Mak-Teçh.,Tadilat</t>
  </si>
  <si>
    <t>2012K120900</t>
  </si>
  <si>
    <t>38.60.00.01-09.8.8.01-2-06.1.2.04/06.1.3.04</t>
  </si>
  <si>
    <t>Rektörlük Bilimsel Araştırma Projeleri-ÖzGelir (1)</t>
  </si>
  <si>
    <t>İleri Araşt.Mak.Teçh.</t>
  </si>
  <si>
    <t>İnş.(51.568m2)+ Don.                    MYO BİNASI 15.500 M2
İYİDERE MYO 6.068 M2
TURİZM OTEL.YO 10.000 M2
ÖĞR.YAŞAM MRK.20.000 M2</t>
  </si>
  <si>
    <t>BAP Birimi / İdari ve Mali İşler Daire Bşk./Merkezi Araştırma Lab.Müdürlüğü</t>
  </si>
  <si>
    <t>İdari ve Mali İşler Daire Bşk./Merkezi Araştırma Lab.Müdürlüğü</t>
  </si>
  <si>
    <t>Çeş.Ünitelerin Etüt Projeleri(DOKAP)</t>
  </si>
  <si>
    <t>Kampüs Altyapısı(DOKAP)</t>
  </si>
  <si>
    <t>Derslik ve Merkezi Birimler(DOKAP)</t>
  </si>
  <si>
    <t>Muhtelif İşler(DOKAP)</t>
  </si>
  <si>
    <t>Açık ve Kapalı Spor Tesisleri(DOKAP)</t>
  </si>
  <si>
    <r>
      <rPr>
        <b/>
        <sz val="16"/>
        <color theme="1"/>
        <rFont val="Calibri"/>
        <family val="2"/>
        <charset val="162"/>
        <scheme val="minor"/>
      </rPr>
      <t xml:space="preserve"> (1)  -</t>
    </r>
    <r>
      <rPr>
        <sz val="16"/>
        <color theme="1"/>
        <rFont val="Calibri"/>
        <family val="2"/>
        <charset val="162"/>
        <scheme val="minor"/>
      </rPr>
      <t xml:space="preserve">   Bilimsel Araştırma Projeleri Yönetmeliğinin 11. maddesi gereği özel ödenek kaydedilen ödeneklerden karşılanacaktır.</t>
    </r>
  </si>
  <si>
    <t>38.60.00.01-09.4.1.00-2- 06.4.2.01</t>
  </si>
  <si>
    <t>İnş.(51.568m2)+ Don.                            MYO BİNASI 15.500 M2
İYİDERE MYO 6.068 M2
TURİZM OTEL.YO 10.000 M2
ÖĞR.YAŞAM MRK.20.000 M2</t>
  </si>
  <si>
    <t>Talep Edilen Ek Ödenek</t>
  </si>
  <si>
    <t>11.06.2012 Harca ma</t>
  </si>
  <si>
    <t xml:space="preserve">RECEP TAYYİP ERDOĞAN ÜNİVERSİTESİ 2012 YILI YATIRIM PROGRAMI </t>
  </si>
  <si>
    <t>İnş.(51.568m2)+ Don.                    MYO BİNASI 15.500 M2
İYİDERE MYO 6.068 M2
EĞİTİM FAKÜLTESİ EK BİNA 27.000 M2
ÖĞR.YAŞAM MRK.20.000 M2</t>
  </si>
  <si>
    <t>27.12.2012 Harcama</t>
  </si>
  <si>
    <t xml:space="preserve">RECEP TAYYİP ERDOĞAN ÜNİVERSİTESİ 2013 YILI YATIRIM PROGRAMI </t>
  </si>
  <si>
    <t>2013 YATIRIM TUTARI</t>
  </si>
  <si>
    <t>2013H031600</t>
  </si>
  <si>
    <t>2013-2013</t>
  </si>
  <si>
    <t>Knl.,El.,Su,Çev.D.,D.Gaz.,Yol, Isı Mrk.,Art.,Trf., Tlf.</t>
  </si>
  <si>
    <t>2008-2015</t>
  </si>
  <si>
    <t>2013H031610</t>
  </si>
  <si>
    <t>Kültür Sektörü</t>
  </si>
  <si>
    <t>2013H040070</t>
  </si>
  <si>
    <t>Tarihi Bina Restitüsyonu</t>
  </si>
  <si>
    <t>Restitüsyon, Onarım, Çev.Düz.</t>
  </si>
  <si>
    <t>İnş. (Spor Kompleksi,10.000 m2)</t>
  </si>
  <si>
    <t>2009-2015</t>
  </si>
  <si>
    <t xml:space="preserve">Merkezi Araştırma Laboratuvarı </t>
  </si>
  <si>
    <t>2010-2013</t>
  </si>
  <si>
    <t>2013K120540</t>
  </si>
  <si>
    <t>Büro Makine Teç.Alımı</t>
  </si>
  <si>
    <t>38.60.00.01-09.4.1.00-2-06.1.2.01</t>
  </si>
  <si>
    <t xml:space="preserve">İnş.(62.500m2)+ Don.                    MYO BİNASI 15.500 M2
EĞİTİM FAKÜLTESİ EK BİNA 27.000 M2
ÖĞR.YAŞAM MRK.20.000 M2                                                                                                                                                                                                                                                                                                                                                           GÜNEYSU FTR.YO. 3000M2                                            </t>
  </si>
  <si>
    <t>İnş.(62.500m2)+ Don.                    MYO BİNASI 15.500 M2
EĞİTİM FAKÜLTESİ EK BİNA 27.000 M2
ÖĞR.YAŞAM MRK.20.000 M2                                                                                                                                                                                                                                                                                                                                                           GÜNEYSU FTR.YO.3000 M2</t>
  </si>
  <si>
    <t xml:space="preserve"> Harcama      (30.09.2013)</t>
  </si>
  <si>
    <t>2014H030370</t>
  </si>
  <si>
    <t>2014-2014</t>
  </si>
  <si>
    <t>2008-2016</t>
  </si>
  <si>
    <t>2014H030380</t>
  </si>
  <si>
    <t>2010-2014</t>
  </si>
  <si>
    <t>2014K120640</t>
  </si>
  <si>
    <t>38.60.00.01-09.4.1.00-2-06.7.7.05</t>
  </si>
  <si>
    <t>Gemi Onarımı</t>
  </si>
  <si>
    <t>Labr.Cihaz Alımı</t>
  </si>
  <si>
    <t>Basılı Yayın Alımı</t>
  </si>
  <si>
    <t>Elektronik Ortamda Yayın Alımı</t>
  </si>
  <si>
    <t xml:space="preserve">RECEP TAYYİP ERDOĞAN ÜNİVERSİTESİ 2014 YILI YATIRIM PROGRAMI </t>
  </si>
  <si>
    <t>2014 YATIRIM TUTARI</t>
  </si>
  <si>
    <t xml:space="preserve"> Bilgi İşlem Daire Bşk.</t>
  </si>
  <si>
    <t>Bilgi İşlem Daire Bşk.</t>
  </si>
  <si>
    <r>
      <t xml:space="preserve">Rektörlük Bilimsel Araştırma Projeleri-ÖzGelir </t>
    </r>
    <r>
      <rPr>
        <vertAlign val="superscript"/>
        <sz val="12"/>
        <color theme="1"/>
        <rFont val="Calibri"/>
        <family val="2"/>
        <charset val="162"/>
        <scheme val="minor"/>
      </rPr>
      <t>(1)</t>
    </r>
  </si>
  <si>
    <r>
      <t xml:space="preserve">TAŞIT ALIMI </t>
    </r>
    <r>
      <rPr>
        <b/>
        <vertAlign val="superscript"/>
        <sz val="12"/>
        <color theme="1"/>
        <rFont val="Calibri"/>
        <family val="2"/>
        <charset val="162"/>
        <scheme val="minor"/>
      </rPr>
      <t>(2)</t>
    </r>
  </si>
  <si>
    <r>
      <rPr>
        <b/>
        <sz val="11"/>
        <color theme="1"/>
        <rFont val="Calibri"/>
        <family val="2"/>
        <charset val="162"/>
        <scheme val="minor"/>
      </rPr>
      <t>(1)  -</t>
    </r>
    <r>
      <rPr>
        <sz val="11"/>
        <color theme="1"/>
        <rFont val="Calibri"/>
        <family val="2"/>
        <charset val="162"/>
        <scheme val="minor"/>
      </rPr>
      <t xml:space="preserve">   Bilimsel Araştırma Projeleri Yönetmeliğinin 11. maddesi gereği özel ödenek kaydedilen ödeneklerden karşılanacaktır.</t>
    </r>
  </si>
  <si>
    <r>
      <rPr>
        <b/>
        <sz val="11"/>
        <color theme="1"/>
        <rFont val="Calibri"/>
        <family val="2"/>
        <charset val="162"/>
        <scheme val="minor"/>
      </rPr>
      <t xml:space="preserve">(2) </t>
    </r>
    <r>
      <rPr>
        <sz val="11"/>
        <color theme="1"/>
        <rFont val="Calibri"/>
        <family val="2"/>
        <charset val="162"/>
        <scheme val="minor"/>
      </rPr>
      <t xml:space="preserve"> -   Pick-Up ( Kamyonet ,sürücü dahil 3 veya 6 kişilik  4*4    1 adet  Yurtiçi Hibe)</t>
    </r>
  </si>
  <si>
    <r>
      <rPr>
        <b/>
        <sz val="11"/>
        <color theme="1"/>
        <rFont val="Calibri"/>
        <family val="2"/>
        <charset val="162"/>
        <scheme val="minor"/>
      </rPr>
      <t xml:space="preserve">(2)  </t>
    </r>
    <r>
      <rPr>
        <sz val="11"/>
        <color theme="1"/>
        <rFont val="Calibri"/>
        <family val="2"/>
        <charset val="162"/>
        <scheme val="minor"/>
      </rPr>
      <t>-   Pick-Up ( Kamyonet ,sürücü dahil 3 veya 6 kişilik  4*4    1 adet  Yurtiçi Hibe)</t>
    </r>
  </si>
  <si>
    <t xml:space="preserve">                                                                                                                                                                                                                                                                                                                                                                                                                                                   İnş. Don.                                                                                                                                                                                                                                                                                                                                                                                                                          Öğr.Yaş Merk.(20000 m2 )                                                                                                                                                                                                                                          Güneysu FTR YO (3000 m2)                                                                                                                                                                                                                                          İİBF+Hukuk Fak.(40000 m2)                                                                                                                                                                                                                                                                                       MYO İkmal İnş. (15500 m2)
                                                                                                                                                                                                                                                                                                                                                                                                </t>
  </si>
  <si>
    <t xml:space="preserve"> Harcama      </t>
  </si>
  <si>
    <t xml:space="preserve">RECEP TAYYİP ERDOĞAN ÜNİVERSİTESİ 2015 YILI YATIRIM PROGRAMI </t>
  </si>
  <si>
    <t>2014-2016</t>
  </si>
  <si>
    <t>2008-2017</t>
  </si>
  <si>
    <t>Çeş.İşlerin Etüt Projeleri(DOKAP)</t>
  </si>
  <si>
    <t>2015H034640</t>
  </si>
  <si>
    <t>Yayın Alımı (DOKAP)</t>
  </si>
  <si>
    <t>2015-2015</t>
  </si>
  <si>
    <t>Bakım Onarım</t>
  </si>
  <si>
    <t>2009-2016</t>
  </si>
  <si>
    <t>Açık ve Kapalı Spor Tesisleri (DOKAP)</t>
  </si>
  <si>
    <t>2015K120510</t>
  </si>
  <si>
    <t>2015 YATIRIM TUTARI</t>
  </si>
  <si>
    <t>Büro Mefrş.Alımı</t>
  </si>
  <si>
    <t xml:space="preserve">BAP Birimi </t>
  </si>
  <si>
    <t xml:space="preserve"> Harcama      (31.12.2014)</t>
  </si>
  <si>
    <t>2014-2015</t>
  </si>
  <si>
    <t>2014 YATIRIM TUTARI (2)</t>
  </si>
  <si>
    <t>2014H040500</t>
  </si>
  <si>
    <t>Kesin Hesap Farkı(1)</t>
  </si>
  <si>
    <t>Kesin Hesap</t>
  </si>
  <si>
    <r>
      <rPr>
        <b/>
        <sz val="11"/>
        <color theme="1"/>
        <rFont val="Calibri"/>
        <family val="2"/>
        <charset val="162"/>
        <scheme val="minor"/>
      </rPr>
      <t>(1)</t>
    </r>
    <r>
      <rPr>
        <sz val="11"/>
        <color theme="1"/>
        <rFont val="Calibri"/>
        <family val="2"/>
        <charset val="162"/>
        <scheme val="minor"/>
      </rPr>
      <t xml:space="preserve"> Proje kapsamında </t>
    </r>
    <r>
      <rPr>
        <b/>
        <sz val="11"/>
        <color theme="1"/>
        <rFont val="Calibri"/>
        <family val="2"/>
        <charset val="162"/>
        <scheme val="minor"/>
      </rPr>
      <t>2013 Yılı Yatırm Programında yer alan '' Tarihi Bina Restitüsyonu''</t>
    </r>
    <r>
      <rPr>
        <sz val="11"/>
        <color theme="1"/>
        <rFont val="Calibri"/>
        <family val="2"/>
        <charset val="162"/>
        <scheme val="minor"/>
      </rPr>
      <t xml:space="preserve"> projesinin nakdi gerçekleşmesi tamamlanacaktır.</t>
    </r>
  </si>
  <si>
    <r>
      <rPr>
        <b/>
        <sz val="11"/>
        <color theme="1"/>
        <rFont val="Calibri"/>
        <family val="2"/>
        <charset val="162"/>
        <scheme val="minor"/>
      </rPr>
      <t>(2)</t>
    </r>
    <r>
      <rPr>
        <sz val="11"/>
        <color theme="1"/>
        <rFont val="Calibri"/>
        <family val="2"/>
        <charset val="162"/>
        <scheme val="minor"/>
      </rPr>
      <t xml:space="preserve"> İşin tamamlanması için gerekli ödeneğin 80 bin TL'lik kısmı üniversite öz gelirlerinden geri kalan kısmı 2013 Yılı Yatırım Programında  yer alan 'Tarihi Bina Restitüsyonu'' projesine tahsis edilip harcanamayan likit kaynaktan karşılanacaktır.</t>
    </r>
  </si>
  <si>
    <r>
      <t xml:space="preserve">                                                                                                                                                                                                                                                                                                                                                                                                                                                   İnş. + Don.                                                                                                                                                                                                                                                                                                                                                                                                                                                                                                                                                                                                                                                                 İİBF+Hukuk Fak.(37000 m2)           Tur. ve Ot. Y.O  Ders.Bn.(8000m2)</t>
    </r>
    <r>
      <rPr>
        <vertAlign val="superscript"/>
        <sz val="12"/>
        <color theme="1"/>
        <rFont val="Calibri"/>
        <family val="2"/>
        <charset val="162"/>
        <scheme val="minor"/>
      </rPr>
      <t xml:space="preserve"> (2)</t>
    </r>
    <r>
      <rPr>
        <sz val="11"/>
        <color theme="1"/>
        <rFont val="Calibri"/>
        <family val="2"/>
        <charset val="162"/>
        <scheme val="minor"/>
      </rPr>
      <t xml:space="preserve">                                                                                                                                                                                                                                                                                    
                                                                                                                                                                                                                                                                                                                                                                                                </t>
    </r>
  </si>
  <si>
    <r>
      <rPr>
        <b/>
        <sz val="11"/>
        <color theme="1"/>
        <rFont val="Calibri"/>
        <family val="2"/>
        <charset val="162"/>
        <scheme val="minor"/>
      </rPr>
      <t>(2)  -</t>
    </r>
    <r>
      <rPr>
        <sz val="11"/>
        <color theme="1"/>
        <rFont val="Calibri"/>
        <family val="2"/>
        <charset val="162"/>
        <scheme val="minor"/>
      </rPr>
      <t xml:space="preserve">   Turizm ve Otelcilik YO işinin maliyetinin tamamı 6583 sayılı 2015 Yılı Merkezi Yönetim Bütçe Kanunu'nun 6.maddesi gereğince ödenekleştirilmeyen  finansman karşılığı olarak 2015 yılına devreden likit karşılığı ödenekten karşılanacaktır.</t>
    </r>
  </si>
  <si>
    <t>Doğalgaz Dönüşümü,Elektrik Hattı,Kampüs İçi Yol,Kanalizasyon Hattı,Peyzaj,Su İsale Hattı,Telefon Hattı</t>
  </si>
  <si>
    <t>Etüt- Proje</t>
  </si>
  <si>
    <t>2014-2017</t>
  </si>
  <si>
    <t>2008-2018</t>
  </si>
  <si>
    <t xml:space="preserve">                                                                                                                                                                                                                                                                                                                                                                                                                                                   Diş Hekimliği Fakültesi (23.500 m2),                                                                                                                                                                                                                                                                                                                                                                 TROYO Ders. Bin.(11.000m2),                                                                                                                                                                                                                                                                                                                                                                                                                                                                                                                                                                                                                                                               İİBF+Hukuk Fakültesi (37.000 m2)                                                                                                                                                                                                                                                                                                                                                                                                                                                                                                                                                                                                                                                              
                                                                                                                                                                                                                                                                                                                                                                                                </t>
  </si>
  <si>
    <t>2016H034510</t>
  </si>
  <si>
    <t>2016-2016</t>
  </si>
  <si>
    <t xml:space="preserve">RECEP TAYYİP ERDOĞAN ÜNİVERSİTESİ 2016 YILI YATIRIM PROGRAMI </t>
  </si>
  <si>
    <t>2016 YATIRIM TUTARI</t>
  </si>
  <si>
    <t xml:space="preserve"> Harcama (31.03.2016)      </t>
  </si>
  <si>
    <t>Çeşitli İşlerin Etüt Projesi (DOKAP)</t>
  </si>
  <si>
    <t>Kara Taşıt Alımları                                                                                                                                                                                                                                                                                                                                                                                                         (T-10 (1 adet) / T-2(1adet))</t>
  </si>
  <si>
    <t>Proje Desteği</t>
  </si>
  <si>
    <t>2016K120520</t>
  </si>
  <si>
    <t>Bilgisayar Yazılım Alımları</t>
  </si>
  <si>
    <t>Bilgi Tek.Alımları(Bilgisayar Alımları)</t>
  </si>
  <si>
    <t>Büro Mefruşat Alımı</t>
  </si>
  <si>
    <t>Laboratuvar Cihaz Alımı</t>
  </si>
  <si>
    <t>(Açık Tenis Kortu- 1 adet )                                                                                                                                                                                                                                                                                                                                                                                    (Mini Futbol Sahası -2 adet)</t>
  </si>
  <si>
    <t>Büro Makine Teçhizat Alımı</t>
  </si>
  <si>
    <t>BAP Birimi</t>
  </si>
  <si>
    <t>2014-2018</t>
  </si>
  <si>
    <t>2017 YATIRIM TUTARI</t>
  </si>
  <si>
    <t>2008-2019</t>
  </si>
  <si>
    <t xml:space="preserve">                                                                                                                                                                                                                                                                                                                                                                                                                                                   Diş Hekimliği Fakültesi (25.000 m2),                                                                                                                                                                                                                                                                                                                                                                 TİOYO Ders. Bin.(11.000m2),                                                                                                                                                                                                                                                                                                                                                                                                                                                                                                                                                                                                                                                               İİBF+Hukuk Fakültesi (37.000 m2)                                                                                                                                                                                                                                                                                                                                                                                                                                                                                                                                                                                                                                                              
                                                                                                                                                                                                                                                                                                                                                                                                </t>
  </si>
  <si>
    <t>2009-2017</t>
  </si>
  <si>
    <t>2017-2017</t>
  </si>
  <si>
    <t>2017K120510</t>
  </si>
  <si>
    <t>2017I000450</t>
  </si>
  <si>
    <t xml:space="preserve">RECEP TAYYİP ERDOĞAN ÜNİVERSİTESİ 2017 YILI YATIRIM PROGRAMI </t>
  </si>
  <si>
    <t xml:space="preserve">                                                                                                                                                                                                                                                                                                                                                                                  Mini Futbol Sahası (2 adet)</t>
  </si>
  <si>
    <t>Sağlık Sektörü</t>
  </si>
  <si>
    <t>Makine-Teçhizat</t>
  </si>
  <si>
    <t>38.60.00.01.07.2.3.00-2-06.1.1.04</t>
  </si>
  <si>
    <t>2017H037310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</si>
</sst>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 _Y_T_L_-;\-* #,##0\ _Y_T_L_-;_-* &quot;-&quot;\ _Y_T_L_-;_-@_-"/>
    <numFmt numFmtId="165" formatCode="#,##0\ _Y_T_L"/>
    <numFmt numFmtId="166" formatCode="#,##0.00\ _Y_T_L"/>
  </numFmts>
  <fonts count="21" x14ac:knownFonts="1">
    <font>
      <sz val="11"/>
      <color theme="1"/>
      <name val="Calibri"/>
      <family val="2"/>
      <charset val="162"/>
      <scheme val="minor"/>
    </font>
    <font>
      <b/>
      <sz val="11"/>
      <color theme="1"/>
      <name val="Calibri"/>
      <family val="2"/>
      <charset val="162"/>
      <scheme val="minor"/>
    </font>
    <font>
      <b/>
      <i/>
      <sz val="11"/>
      <color theme="1"/>
      <name val="Calibri"/>
      <family val="2"/>
      <charset val="162"/>
      <scheme val="minor"/>
    </font>
    <font>
      <b/>
      <i/>
      <sz val="12"/>
      <color theme="1"/>
      <name val="Calibri"/>
      <family val="2"/>
      <charset val="162"/>
      <scheme val="minor"/>
    </font>
    <font>
      <b/>
      <sz val="14"/>
      <color theme="1"/>
      <name val="Calibri"/>
      <family val="2"/>
      <charset val="162"/>
      <scheme val="minor"/>
    </font>
    <font>
      <b/>
      <sz val="12"/>
      <color theme="1"/>
      <name val="Calibri"/>
      <family val="2"/>
      <charset val="162"/>
      <scheme val="minor"/>
    </font>
    <font>
      <b/>
      <sz val="16"/>
      <color theme="1"/>
      <name val="Calibri"/>
      <family val="2"/>
      <charset val="162"/>
      <scheme val="minor"/>
    </font>
    <font>
      <b/>
      <sz val="12"/>
      <color theme="1"/>
      <name val="Cambria"/>
      <family val="1"/>
      <charset val="162"/>
      <scheme val="major"/>
    </font>
    <font>
      <b/>
      <sz val="10"/>
      <color theme="1"/>
      <name val="Cambria"/>
      <family val="1"/>
      <charset val="162"/>
      <scheme val="major"/>
    </font>
    <font>
      <b/>
      <i/>
      <u/>
      <sz val="11"/>
      <color theme="1"/>
      <name val="Cambria"/>
      <family val="1"/>
      <charset val="162"/>
      <scheme val="major"/>
    </font>
    <font>
      <sz val="10"/>
      <color theme="1"/>
      <name val="Cambria"/>
      <family val="1"/>
      <charset val="162"/>
      <scheme val="major"/>
    </font>
    <font>
      <sz val="9"/>
      <color indexed="81"/>
      <name val="Tahoma"/>
      <family val="2"/>
      <charset val="162"/>
    </font>
    <font>
      <b/>
      <sz val="9"/>
      <color indexed="81"/>
      <name val="Tahoma"/>
      <family val="2"/>
      <charset val="162"/>
    </font>
    <font>
      <sz val="16"/>
      <color theme="1"/>
      <name val="Calibri"/>
      <family val="2"/>
      <charset val="162"/>
      <scheme val="minor"/>
    </font>
    <font>
      <b/>
      <i/>
      <sz val="16"/>
      <color theme="1"/>
      <name val="Calibri"/>
      <family val="2"/>
      <charset val="162"/>
      <scheme val="minor"/>
    </font>
    <font>
      <vertAlign val="superscript"/>
      <sz val="12"/>
      <color theme="1"/>
      <name val="Calibri"/>
      <family val="2"/>
      <charset val="162"/>
      <scheme val="minor"/>
    </font>
    <font>
      <b/>
      <vertAlign val="superscript"/>
      <sz val="12"/>
      <color theme="1"/>
      <name val="Calibri"/>
      <family val="2"/>
      <charset val="162"/>
      <scheme val="minor"/>
    </font>
    <font>
      <sz val="11"/>
      <name val="Calibri"/>
      <family val="2"/>
      <charset val="162"/>
      <scheme val="minor"/>
    </font>
    <font>
      <sz val="10"/>
      <color indexed="81"/>
      <name val="Tahoma"/>
      <family val="2"/>
      <charset val="162"/>
    </font>
    <font>
      <b/>
      <i/>
      <sz val="12"/>
      <name val="Calibri"/>
      <family val="2"/>
      <charset val="162"/>
      <scheme val="minor"/>
    </font>
    <font>
      <b/>
      <sz val="11"/>
      <name val="Calibri"/>
      <family val="2"/>
      <charset val="162"/>
      <scheme val="minor"/>
    </font>
  </fonts>
  <fills count="6">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s>
  <cellStyleXfs count="1">
    <xf numFmtId="0" fontId="0" fillId="0" borderId="0"/>
  </cellStyleXfs>
  <cellXfs count="381">
    <xf numFmtId="0" fontId="0" fillId="0" borderId="0" xfId="0"/>
    <xf numFmtId="0" fontId="0" fillId="0" borderId="0" xfId="0" applyAlignment="1">
      <alignment vertical="center"/>
    </xf>
    <xf numFmtId="2" fontId="1" fillId="0" borderId="1" xfId="0" applyNumberFormat="1" applyFont="1" applyBorder="1" applyAlignment="1">
      <alignment horizontal="center" vertical="center" wrapText="1"/>
    </xf>
    <xf numFmtId="3" fontId="0" fillId="0" borderId="4" xfId="0" applyNumberFormat="1" applyBorder="1" applyAlignment="1">
      <alignment vertical="center" wrapText="1"/>
    </xf>
    <xf numFmtId="0" fontId="0" fillId="0" borderId="0" xfId="0" applyAlignment="1">
      <alignment vertical="center" wrapText="1"/>
    </xf>
    <xf numFmtId="3" fontId="0" fillId="0" borderId="4" xfId="0" applyNumberFormat="1" applyBorder="1" applyAlignment="1">
      <alignment horizontal="right" vertical="center" wrapText="1"/>
    </xf>
    <xf numFmtId="0" fontId="0" fillId="0" borderId="0" xfId="0" applyAlignment="1">
      <alignment horizontal="center" vertical="center"/>
    </xf>
    <xf numFmtId="2" fontId="1" fillId="0" borderId="2" xfId="0" applyNumberFormat="1" applyFont="1" applyBorder="1" applyAlignment="1">
      <alignment horizontal="center" vertical="center" wrapText="1"/>
    </xf>
    <xf numFmtId="0" fontId="6" fillId="0" borderId="0" xfId="0" applyFont="1" applyAlignment="1"/>
    <xf numFmtId="2" fontId="1" fillId="0" borderId="13"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0" fontId="0" fillId="0" borderId="3" xfId="0" applyBorder="1" applyAlignment="1">
      <alignment horizontal="left" wrapText="1"/>
    </xf>
    <xf numFmtId="0" fontId="0" fillId="0" borderId="15" xfId="0" applyBorder="1" applyAlignment="1">
      <alignment wrapText="1"/>
    </xf>
    <xf numFmtId="0" fontId="0" fillId="0" borderId="12" xfId="0" applyBorder="1" applyAlignment="1">
      <alignment wrapText="1"/>
    </xf>
    <xf numFmtId="3" fontId="0" fillId="0" borderId="4" xfId="0" applyNumberFormat="1" applyBorder="1" applyAlignment="1">
      <alignment horizontal="right" wrapText="1"/>
    </xf>
    <xf numFmtId="0" fontId="0" fillId="0" borderId="5" xfId="0" applyBorder="1" applyAlignment="1">
      <alignment horizontal="left" wrapText="1"/>
    </xf>
    <xf numFmtId="0" fontId="0" fillId="0" borderId="4" xfId="0" applyBorder="1" applyAlignment="1">
      <alignment horizontal="center" wrapText="1"/>
    </xf>
    <xf numFmtId="3" fontId="0" fillId="0" borderId="15" xfId="0" applyNumberFormat="1" applyBorder="1" applyAlignment="1">
      <alignment horizontal="right" wrapText="1"/>
    </xf>
    <xf numFmtId="3" fontId="0" fillId="0" borderId="5" xfId="0" applyNumberFormat="1" applyBorder="1" applyAlignment="1">
      <alignment horizontal="right" wrapText="1"/>
    </xf>
    <xf numFmtId="3" fontId="0" fillId="0" borderId="9" xfId="0" applyNumberFormat="1" applyBorder="1" applyAlignment="1">
      <alignment horizontal="right" wrapText="1"/>
    </xf>
    <xf numFmtId="0" fontId="0" fillId="0" borderId="10" xfId="0" applyBorder="1" applyAlignment="1">
      <alignment horizontal="left" wrapText="1"/>
    </xf>
    <xf numFmtId="0" fontId="0" fillId="0" borderId="9" xfId="0" applyBorder="1" applyAlignment="1">
      <alignment horizontal="center"/>
    </xf>
    <xf numFmtId="3" fontId="0" fillId="0" borderId="16" xfId="0" applyNumberFormat="1" applyBorder="1" applyAlignment="1">
      <alignment horizontal="right" wrapText="1"/>
    </xf>
    <xf numFmtId="0" fontId="0" fillId="0" borderId="6" xfId="0" applyBorder="1" applyAlignment="1">
      <alignment horizontal="left" wrapText="1"/>
    </xf>
    <xf numFmtId="3" fontId="1" fillId="0" borderId="7" xfId="0" applyNumberFormat="1" applyFont="1" applyBorder="1" applyAlignment="1">
      <alignment horizontal="right"/>
    </xf>
    <xf numFmtId="0" fontId="0" fillId="0" borderId="8" xfId="0" applyBorder="1" applyAlignment="1">
      <alignment horizontal="left" wrapText="1"/>
    </xf>
    <xf numFmtId="0" fontId="1" fillId="0" borderId="7" xfId="0" applyFont="1" applyBorder="1" applyAlignment="1">
      <alignment horizontal="center"/>
    </xf>
    <xf numFmtId="3" fontId="0" fillId="0" borderId="8" xfId="0" applyNumberFormat="1" applyBorder="1" applyAlignment="1">
      <alignment horizontal="right" wrapText="1"/>
    </xf>
    <xf numFmtId="0" fontId="8" fillId="4" borderId="4" xfId="0" applyFont="1" applyFill="1" applyBorder="1" applyAlignment="1">
      <alignment horizontal="center" vertical="center" wrapText="1"/>
    </xf>
    <xf numFmtId="0" fontId="10" fillId="0" borderId="4" xfId="0" applyFont="1" applyBorder="1" applyAlignment="1">
      <alignment vertical="center" wrapText="1"/>
    </xf>
    <xf numFmtId="3" fontId="10" fillId="0" borderId="4" xfId="0" applyNumberFormat="1" applyFont="1" applyBorder="1" applyAlignment="1">
      <alignment horizontal="right" vertical="center" wrapText="1"/>
    </xf>
    <xf numFmtId="0" fontId="10" fillId="0" borderId="4" xfId="0" applyFont="1" applyBorder="1" applyAlignment="1">
      <alignment vertical="center"/>
    </xf>
    <xf numFmtId="164" fontId="10" fillId="0" borderId="4" xfId="0" applyNumberFormat="1" applyFont="1" applyBorder="1" applyAlignment="1">
      <alignment horizontal="right" vertical="center" wrapText="1"/>
    </xf>
    <xf numFmtId="2" fontId="10" fillId="0" borderId="4" xfId="0" applyNumberFormat="1" applyFont="1" applyBorder="1" applyAlignment="1">
      <alignment horizontal="center" vertical="center"/>
    </xf>
    <xf numFmtId="0" fontId="0" fillId="0" borderId="0" xfId="0" applyAlignment="1">
      <alignment horizontal="left" vertical="center"/>
    </xf>
    <xf numFmtId="0" fontId="0" fillId="0" borderId="0" xfId="0" applyAlignment="1">
      <alignment horizontal="left"/>
    </xf>
    <xf numFmtId="0" fontId="10" fillId="0" borderId="4" xfId="0" applyFont="1" applyBorder="1" applyAlignment="1">
      <alignment horizontal="left" vertical="center" wrapText="1"/>
    </xf>
    <xf numFmtId="0" fontId="8" fillId="0" borderId="4" xfId="0" applyFont="1" applyBorder="1" applyAlignment="1">
      <alignment horizontal="center" vertical="center"/>
    </xf>
    <xf numFmtId="3" fontId="8" fillId="0" borderId="4" xfId="0" applyNumberFormat="1" applyFont="1" applyBorder="1" applyAlignment="1">
      <alignment horizontal="right" vertical="center"/>
    </xf>
    <xf numFmtId="2" fontId="8" fillId="0" borderId="4" xfId="0" applyNumberFormat="1" applyFont="1" applyBorder="1" applyAlignment="1">
      <alignment horizontal="center" vertical="center"/>
    </xf>
    <xf numFmtId="164" fontId="0" fillId="0" borderId="0" xfId="0" applyNumberFormat="1"/>
    <xf numFmtId="0" fontId="10" fillId="0" borderId="4" xfId="0" applyFont="1" applyFill="1" applyBorder="1" applyAlignment="1">
      <alignment vertical="center" wrapText="1"/>
    </xf>
    <xf numFmtId="3" fontId="10" fillId="0" borderId="4" xfId="0" applyNumberFormat="1" applyFont="1" applyFill="1" applyBorder="1" applyAlignment="1">
      <alignment horizontal="right" vertical="center" wrapText="1"/>
    </xf>
    <xf numFmtId="0" fontId="10" fillId="0" borderId="4" xfId="0" applyFont="1" applyFill="1" applyBorder="1" applyAlignment="1">
      <alignment vertical="center"/>
    </xf>
    <xf numFmtId="164" fontId="10" fillId="0" borderId="4" xfId="0" applyNumberFormat="1" applyFont="1" applyFill="1" applyBorder="1" applyAlignment="1">
      <alignment horizontal="right" vertical="center" wrapText="1"/>
    </xf>
    <xf numFmtId="2" fontId="10" fillId="0" borderId="4" xfId="0" applyNumberFormat="1" applyFont="1" applyFill="1" applyBorder="1" applyAlignment="1">
      <alignment horizontal="center" vertical="center"/>
    </xf>
    <xf numFmtId="0" fontId="0" fillId="0" borderId="0" xfId="0" applyFill="1"/>
    <xf numFmtId="3" fontId="8" fillId="0" borderId="4" xfId="0" applyNumberFormat="1" applyFont="1" applyBorder="1" applyAlignment="1">
      <alignment horizontal="center" vertical="center"/>
    </xf>
    <xf numFmtId="2" fontId="8" fillId="0" borderId="4" xfId="0" applyNumberFormat="1" applyFont="1" applyFill="1" applyBorder="1" applyAlignment="1">
      <alignment horizontal="center" vertical="center"/>
    </xf>
    <xf numFmtId="0" fontId="0" fillId="0" borderId="4" xfId="0" applyBorder="1" applyAlignment="1">
      <alignment vertical="center"/>
    </xf>
    <xf numFmtId="3" fontId="0" fillId="0" borderId="4" xfId="0" applyNumberFormat="1" applyBorder="1" applyAlignment="1">
      <alignment horizontal="center" vertical="center" wrapText="1"/>
    </xf>
    <xf numFmtId="0" fontId="0" fillId="0" borderId="4" xfId="0" applyBorder="1" applyAlignment="1">
      <alignment vertical="center" wrapText="1"/>
    </xf>
    <xf numFmtId="3" fontId="2" fillId="2" borderId="4" xfId="0" applyNumberFormat="1" applyFont="1" applyFill="1" applyBorder="1" applyAlignment="1">
      <alignment horizontal="right" vertical="center" wrapText="1"/>
    </xf>
    <xf numFmtId="3" fontId="2" fillId="2" borderId="4" xfId="0" applyNumberFormat="1" applyFont="1" applyFill="1" applyBorder="1" applyAlignment="1">
      <alignment vertical="center" wrapText="1"/>
    </xf>
    <xf numFmtId="0" fontId="1" fillId="2" borderId="4" xfId="0" applyFont="1" applyFill="1" applyBorder="1" applyAlignment="1">
      <alignment horizontal="center" vertical="center"/>
    </xf>
    <xf numFmtId="3" fontId="1" fillId="2" borderId="4" xfId="0" applyNumberFormat="1" applyFont="1" applyFill="1" applyBorder="1" applyAlignment="1">
      <alignment vertical="center"/>
    </xf>
    <xf numFmtId="2" fontId="0" fillId="2" borderId="4" xfId="0" applyNumberFormat="1" applyFill="1" applyBorder="1" applyAlignment="1">
      <alignment horizontal="center" vertical="center" wrapText="1"/>
    </xf>
    <xf numFmtId="3" fontId="0" fillId="2" borderId="4" xfId="0" applyNumberFormat="1" applyFill="1" applyBorder="1" applyAlignment="1">
      <alignment horizontal="center" vertical="center" wrapText="1"/>
    </xf>
    <xf numFmtId="2" fontId="1" fillId="2" borderId="4" xfId="0" applyNumberFormat="1" applyFont="1" applyFill="1" applyBorder="1" applyAlignment="1">
      <alignment horizontal="center" vertical="center" wrapText="1"/>
    </xf>
    <xf numFmtId="0" fontId="0" fillId="2" borderId="4" xfId="0" applyFill="1" applyBorder="1" applyAlignment="1">
      <alignment vertical="center"/>
    </xf>
    <xf numFmtId="3" fontId="1" fillId="2" borderId="4" xfId="0" applyNumberFormat="1" applyFont="1" applyFill="1" applyBorder="1" applyAlignment="1">
      <alignment horizontal="center" vertical="center"/>
    </xf>
    <xf numFmtId="0" fontId="0" fillId="0" borderId="4" xfId="0" applyFill="1" applyBorder="1" applyAlignment="1">
      <alignment horizontal="center" vertical="center" wrapText="1"/>
    </xf>
    <xf numFmtId="3" fontId="0" fillId="0" borderId="4" xfId="0" applyNumberFormat="1" applyFill="1" applyBorder="1" applyAlignment="1">
      <alignment horizontal="center" vertical="center" wrapText="1"/>
    </xf>
    <xf numFmtId="3" fontId="0" fillId="0" borderId="4" xfId="0" applyNumberFormat="1" applyFill="1" applyBorder="1" applyAlignment="1">
      <alignment vertical="center" wrapText="1"/>
    </xf>
    <xf numFmtId="3" fontId="1" fillId="2" borderId="4" xfId="0" applyNumberFormat="1" applyFont="1" applyFill="1" applyBorder="1" applyAlignment="1">
      <alignment vertical="center" wrapText="1"/>
    </xf>
    <xf numFmtId="0" fontId="0" fillId="2" borderId="4" xfId="0" applyFill="1" applyBorder="1" applyAlignment="1">
      <alignment vertical="center" wrapText="1"/>
    </xf>
    <xf numFmtId="3" fontId="0" fillId="2" borderId="4" xfId="0" applyNumberFormat="1" applyFill="1" applyBorder="1" applyAlignment="1">
      <alignment horizontal="center" vertical="center"/>
    </xf>
    <xf numFmtId="3" fontId="0" fillId="0" borderId="4" xfId="0" applyNumberFormat="1" applyBorder="1" applyAlignment="1">
      <alignment vertical="center"/>
    </xf>
    <xf numFmtId="0" fontId="8" fillId="0" borderId="4" xfId="0" applyFont="1" applyFill="1" applyBorder="1" applyAlignment="1">
      <alignment horizontal="center" vertical="center" wrapText="1"/>
    </xf>
    <xf numFmtId="165" fontId="0" fillId="0" borderId="4" xfId="0" applyNumberFormat="1" applyBorder="1" applyAlignment="1">
      <alignment vertical="center" wrapText="1"/>
    </xf>
    <xf numFmtId="165" fontId="0" fillId="0" borderId="4" xfId="0" applyNumberFormat="1" applyBorder="1" applyAlignment="1">
      <alignment vertical="center"/>
    </xf>
    <xf numFmtId="165" fontId="0" fillId="0" borderId="4" xfId="0" applyNumberFormat="1" applyBorder="1" applyAlignment="1">
      <alignment horizontal="right" vertical="center" wrapText="1"/>
    </xf>
    <xf numFmtId="166" fontId="0" fillId="0" borderId="4" xfId="0" applyNumberFormat="1" applyBorder="1" applyAlignment="1">
      <alignment horizontal="right" vertical="center" wrapText="1"/>
    </xf>
    <xf numFmtId="166" fontId="1" fillId="2" borderId="4" xfId="0" applyNumberFormat="1" applyFont="1" applyFill="1" applyBorder="1" applyAlignment="1">
      <alignment horizontal="right" vertical="center" wrapText="1"/>
    </xf>
    <xf numFmtId="165" fontId="0" fillId="2" borderId="4" xfId="0" applyNumberFormat="1" applyFill="1" applyBorder="1" applyAlignment="1">
      <alignment horizontal="center" vertical="center" wrapText="1"/>
    </xf>
    <xf numFmtId="165" fontId="0" fillId="2" borderId="4" xfId="0" applyNumberFormat="1" applyFill="1" applyBorder="1" applyAlignment="1">
      <alignment vertical="center"/>
    </xf>
    <xf numFmtId="165" fontId="0" fillId="2" borderId="4" xfId="0" applyNumberFormat="1" applyFill="1" applyBorder="1" applyAlignment="1">
      <alignment horizontal="right" vertical="center" wrapText="1"/>
    </xf>
    <xf numFmtId="166" fontId="0" fillId="2" borderId="4" xfId="0" applyNumberFormat="1" applyFill="1" applyBorder="1" applyAlignment="1">
      <alignment horizontal="right" vertical="center" wrapText="1"/>
    </xf>
    <xf numFmtId="0" fontId="0" fillId="2" borderId="4" xfId="0" applyFill="1"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2" fontId="0" fillId="0" borderId="4" xfId="0" applyNumberFormat="1" applyFill="1" applyBorder="1" applyAlignment="1">
      <alignment horizontal="center" vertical="center" wrapText="1"/>
    </xf>
    <xf numFmtId="2" fontId="1" fillId="0" borderId="4" xfId="0" applyNumberFormat="1" applyFont="1" applyBorder="1" applyAlignment="1">
      <alignment horizontal="center"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2" fontId="1" fillId="0" borderId="4" xfId="0" applyNumberFormat="1" applyFont="1" applyBorder="1" applyAlignment="1">
      <alignment horizontal="center" vertical="center" wrapText="1"/>
    </xf>
    <xf numFmtId="2" fontId="0" fillId="0" borderId="4" xfId="0" applyNumberFormat="1" applyFill="1" applyBorder="1" applyAlignment="1">
      <alignment horizontal="center" vertical="center" wrapText="1"/>
    </xf>
    <xf numFmtId="0" fontId="0" fillId="2" borderId="4" xfId="0" applyFill="1"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165" fontId="0" fillId="0" borderId="0" xfId="0" applyNumberFormat="1" applyAlignment="1">
      <alignment vertical="center"/>
    </xf>
    <xf numFmtId="165" fontId="0" fillId="0" borderId="0" xfId="0" applyNumberFormat="1" applyAlignment="1">
      <alignment vertical="center" wrapText="1"/>
    </xf>
    <xf numFmtId="165" fontId="0" fillId="0" borderId="4" xfId="0" applyNumberFormat="1" applyFill="1" applyBorder="1" applyAlignment="1">
      <alignment horizontal="right" vertical="center" wrapText="1"/>
    </xf>
    <xf numFmtId="0" fontId="1" fillId="2" borderId="4" xfId="0" applyFont="1" applyFill="1" applyBorder="1" applyAlignment="1">
      <alignment vertical="center" wrapText="1"/>
    </xf>
    <xf numFmtId="0" fontId="1" fillId="0" borderId="0" xfId="0" applyFont="1" applyAlignment="1">
      <alignment vertical="center"/>
    </xf>
    <xf numFmtId="3" fontId="0" fillId="0" borderId="0" xfId="0" applyNumberFormat="1" applyAlignment="1">
      <alignment vertical="center"/>
    </xf>
    <xf numFmtId="0" fontId="0" fillId="0" borderId="4" xfId="0" applyBorder="1" applyAlignment="1">
      <alignment horizontal="center" vertical="center" wrapText="1"/>
    </xf>
    <xf numFmtId="2" fontId="1" fillId="0" borderId="4"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4" xfId="0" applyFill="1" applyBorder="1" applyAlignment="1">
      <alignment horizontal="center" vertical="center"/>
    </xf>
    <xf numFmtId="0" fontId="1" fillId="2" borderId="4" xfId="0" applyFont="1" applyFill="1" applyBorder="1" applyAlignment="1">
      <alignment horizontal="center" vertical="center"/>
    </xf>
    <xf numFmtId="165" fontId="1" fillId="2" borderId="4" xfId="0" applyNumberFormat="1" applyFont="1" applyFill="1" applyBorder="1" applyAlignment="1">
      <alignment horizontal="center" vertical="center" wrapText="1"/>
    </xf>
    <xf numFmtId="165" fontId="1" fillId="2" borderId="4" xfId="0" applyNumberFormat="1" applyFont="1" applyFill="1" applyBorder="1" applyAlignment="1">
      <alignment horizontal="right" vertical="center" wrapText="1"/>
    </xf>
    <xf numFmtId="165" fontId="1" fillId="2" borderId="4" xfId="0" applyNumberFormat="1" applyFont="1" applyFill="1" applyBorder="1" applyAlignment="1">
      <alignment vertical="center"/>
    </xf>
    <xf numFmtId="0" fontId="0" fillId="0" borderId="4" xfId="0" applyBorder="1" applyAlignment="1">
      <alignment horizontal="center" vertical="center" wrapText="1"/>
    </xf>
    <xf numFmtId="14" fontId="8" fillId="0" borderId="4" xfId="0" applyNumberFormat="1" applyFont="1" applyFill="1" applyBorder="1" applyAlignment="1">
      <alignment horizontal="center" vertical="center" wrapText="1"/>
    </xf>
    <xf numFmtId="2" fontId="1" fillId="0" borderId="4" xfId="0" applyNumberFormat="1" applyFont="1" applyBorder="1" applyAlignment="1">
      <alignment horizontal="center"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2" borderId="4" xfId="0" applyFill="1" applyBorder="1" applyAlignment="1">
      <alignment horizontal="center" vertical="center"/>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0" fontId="1" fillId="2" borderId="4" xfId="0" applyFont="1" applyFill="1" applyBorder="1" applyAlignment="1">
      <alignment horizontal="center" vertical="center"/>
    </xf>
    <xf numFmtId="0" fontId="0" fillId="2" borderId="4" xfId="0" applyFill="1" applyBorder="1" applyAlignment="1">
      <alignment horizontal="center"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2" fontId="1" fillId="0" borderId="4" xfId="0" applyNumberFormat="1" applyFont="1" applyBorder="1" applyAlignment="1">
      <alignment horizontal="center" vertical="center" wrapText="1"/>
    </xf>
    <xf numFmtId="0" fontId="1" fillId="2" borderId="4" xfId="0" applyFont="1" applyFill="1" applyBorder="1" applyAlignment="1">
      <alignment horizontal="center" vertical="center"/>
    </xf>
    <xf numFmtId="3" fontId="1" fillId="2" borderId="4" xfId="0" applyNumberFormat="1" applyFont="1" applyFill="1" applyBorder="1" applyAlignment="1">
      <alignment horizontal="center" vertical="center" wrapText="1"/>
    </xf>
    <xf numFmtId="0" fontId="0" fillId="2" borderId="4" xfId="0" applyFill="1" applyBorder="1" applyAlignment="1">
      <alignment horizontal="center"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0" borderId="4" xfId="0" applyFill="1" applyBorder="1" applyAlignment="1">
      <alignment horizontal="center" vertical="center"/>
    </xf>
    <xf numFmtId="2" fontId="1" fillId="0" borderId="4" xfId="0" applyNumberFormat="1" applyFont="1" applyBorder="1" applyAlignment="1">
      <alignment horizontal="center" vertical="center" wrapText="1"/>
    </xf>
    <xf numFmtId="0" fontId="1" fillId="2" borderId="4" xfId="0" applyFont="1" applyFill="1" applyBorder="1" applyAlignment="1">
      <alignment horizontal="center" vertical="center"/>
    </xf>
    <xf numFmtId="2" fontId="0" fillId="0" borderId="4" xfId="0" applyNumberFormat="1" applyFill="1" applyBorder="1" applyAlignment="1">
      <alignment horizontal="center" vertical="center" wrapText="1"/>
    </xf>
    <xf numFmtId="0" fontId="13" fillId="0" borderId="0" xfId="0" applyFont="1" applyAlignment="1">
      <alignment vertical="center"/>
    </xf>
    <xf numFmtId="2" fontId="6" fillId="0" borderId="4" xfId="0" applyNumberFormat="1" applyFont="1" applyBorder="1" applyAlignment="1">
      <alignment horizontal="center" vertical="center" wrapText="1"/>
    </xf>
    <xf numFmtId="3" fontId="14" fillId="2" borderId="4" xfId="0" applyNumberFormat="1" applyFont="1" applyFill="1" applyBorder="1" applyAlignment="1">
      <alignment horizontal="right" vertical="center" wrapText="1"/>
    </xf>
    <xf numFmtId="2" fontId="6" fillId="2"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2" fontId="13" fillId="0" borderId="4" xfId="0" applyNumberFormat="1" applyFont="1" applyBorder="1" applyAlignment="1">
      <alignment horizontal="center" vertical="center" wrapText="1"/>
    </xf>
    <xf numFmtId="3" fontId="13" fillId="0" borderId="4" xfId="0" applyNumberFormat="1" applyFont="1" applyBorder="1" applyAlignment="1">
      <alignment horizontal="right" vertical="center" wrapText="1"/>
    </xf>
    <xf numFmtId="3" fontId="13" fillId="0" borderId="4" xfId="0" applyNumberFormat="1" applyFont="1" applyBorder="1" applyAlignment="1">
      <alignment vertical="center" wrapText="1"/>
    </xf>
    <xf numFmtId="3" fontId="13" fillId="0" borderId="4" xfId="0" applyNumberFormat="1" applyFont="1" applyBorder="1" applyAlignment="1">
      <alignment horizontal="center" vertical="center" wrapText="1"/>
    </xf>
    <xf numFmtId="0" fontId="13" fillId="0" borderId="0" xfId="0" applyFont="1" applyAlignment="1">
      <alignment vertical="center" wrapText="1"/>
    </xf>
    <xf numFmtId="3" fontId="14" fillId="2" borderId="4" xfId="0" applyNumberFormat="1" applyFont="1" applyFill="1" applyBorder="1" applyAlignment="1">
      <alignment vertical="center" wrapText="1"/>
    </xf>
    <xf numFmtId="3" fontId="13" fillId="2" borderId="4" xfId="0" applyNumberFormat="1" applyFont="1" applyFill="1" applyBorder="1" applyAlignment="1">
      <alignment horizontal="center" vertical="center" wrapText="1"/>
    </xf>
    <xf numFmtId="3" fontId="6" fillId="2" borderId="4" xfId="0" applyNumberFormat="1" applyFont="1" applyFill="1" applyBorder="1" applyAlignment="1">
      <alignment vertical="center" wrapText="1"/>
    </xf>
    <xf numFmtId="0" fontId="13" fillId="0" borderId="4" xfId="0" applyFont="1" applyFill="1" applyBorder="1" applyAlignment="1">
      <alignment horizontal="center" vertical="center" wrapText="1"/>
    </xf>
    <xf numFmtId="2" fontId="13" fillId="0" borderId="4" xfId="0" applyNumberFormat="1" applyFont="1" applyFill="1" applyBorder="1" applyAlignment="1">
      <alignment horizontal="center" vertical="center" wrapText="1"/>
    </xf>
    <xf numFmtId="3" fontId="13" fillId="0" borderId="4" xfId="0" applyNumberFormat="1" applyFont="1" applyFill="1" applyBorder="1" applyAlignment="1">
      <alignment horizontal="center" vertical="center" wrapText="1"/>
    </xf>
    <xf numFmtId="3" fontId="13" fillId="0" borderId="4" xfId="0" applyNumberFormat="1" applyFont="1" applyFill="1" applyBorder="1" applyAlignment="1">
      <alignment vertical="center" wrapText="1"/>
    </xf>
    <xf numFmtId="0" fontId="13" fillId="2" borderId="4" xfId="0" applyFont="1" applyFill="1" applyBorder="1" applyAlignment="1">
      <alignment vertical="center" wrapText="1"/>
    </xf>
    <xf numFmtId="0" fontId="13" fillId="2" borderId="4" xfId="0" applyFont="1" applyFill="1" applyBorder="1" applyAlignment="1">
      <alignment horizontal="center" vertical="center"/>
    </xf>
    <xf numFmtId="3" fontId="13" fillId="2" borderId="4" xfId="0" applyNumberFormat="1" applyFont="1" applyFill="1" applyBorder="1" applyAlignment="1">
      <alignment horizontal="center" vertical="center"/>
    </xf>
    <xf numFmtId="0" fontId="6" fillId="2" borderId="4" xfId="0" applyFont="1" applyFill="1" applyBorder="1" applyAlignment="1">
      <alignment horizontal="center" vertical="center"/>
    </xf>
    <xf numFmtId="3" fontId="6" fillId="2" borderId="4" xfId="0" applyNumberFormat="1" applyFont="1" applyFill="1" applyBorder="1" applyAlignment="1">
      <alignment vertical="center"/>
    </xf>
    <xf numFmtId="0" fontId="13" fillId="0" borderId="0" xfId="0" applyFont="1" applyAlignment="1">
      <alignment horizontal="center" vertical="center"/>
    </xf>
    <xf numFmtId="2" fontId="6" fillId="0" borderId="4" xfId="0" applyNumberFormat="1" applyFont="1" applyBorder="1" applyAlignment="1">
      <alignment horizontal="center" vertical="center" wrapText="1"/>
    </xf>
    <xf numFmtId="0" fontId="0" fillId="2" borderId="4" xfId="0" applyFill="1" applyBorder="1" applyAlignment="1">
      <alignment horizontal="center"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2" fontId="1" fillId="0" borderId="4" xfId="0" applyNumberFormat="1" applyFont="1" applyBorder="1" applyAlignment="1">
      <alignment horizontal="center" vertical="center" wrapText="1"/>
    </xf>
    <xf numFmtId="0" fontId="1" fillId="2" borderId="4" xfId="0" applyFont="1" applyFill="1" applyBorder="1" applyAlignment="1">
      <alignment horizontal="center" vertical="center"/>
    </xf>
    <xf numFmtId="165" fontId="0" fillId="2" borderId="4" xfId="0" applyNumberFormat="1" applyFill="1" applyBorder="1" applyAlignment="1">
      <alignment vertical="center" wrapText="1"/>
    </xf>
    <xf numFmtId="0" fontId="0" fillId="2" borderId="4" xfId="0" applyFill="1" applyBorder="1" applyAlignment="1">
      <alignment horizontal="center"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2" fontId="1" fillId="0" borderId="4" xfId="0" applyNumberFormat="1" applyFont="1" applyBorder="1" applyAlignment="1">
      <alignment horizontal="center" vertical="center" wrapText="1"/>
    </xf>
    <xf numFmtId="0" fontId="1" fillId="2" borderId="4" xfId="0" applyFont="1" applyFill="1" applyBorder="1" applyAlignment="1">
      <alignment horizontal="center"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2" fontId="1" fillId="0" borderId="4" xfId="0" applyNumberFormat="1" applyFont="1" applyBorder="1" applyAlignment="1">
      <alignment horizontal="center"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2" borderId="4" xfId="0" applyFill="1" applyBorder="1" applyAlignment="1">
      <alignment horizontal="center" vertical="center"/>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0" fontId="1" fillId="2" borderId="4" xfId="0" applyFont="1" applyFill="1" applyBorder="1" applyAlignment="1">
      <alignment horizontal="center" vertical="center"/>
    </xf>
    <xf numFmtId="0" fontId="0" fillId="0" borderId="15" xfId="0" applyFill="1" applyBorder="1" applyAlignment="1">
      <alignment horizontal="center" vertical="center"/>
    </xf>
    <xf numFmtId="0" fontId="0" fillId="0" borderId="12" xfId="0" applyFill="1" applyBorder="1" applyAlignment="1">
      <alignment horizontal="center" vertical="center"/>
    </xf>
    <xf numFmtId="3" fontId="2" fillId="3" borderId="4" xfId="0" applyNumberFormat="1" applyFont="1" applyFill="1" applyBorder="1" applyAlignment="1">
      <alignment horizontal="right" vertical="center" wrapText="1"/>
    </xf>
    <xf numFmtId="2" fontId="1" fillId="3" borderId="4" xfId="0" applyNumberFormat="1" applyFont="1" applyFill="1" applyBorder="1" applyAlignment="1">
      <alignment horizontal="center" vertical="center" wrapText="1"/>
    </xf>
    <xf numFmtId="165" fontId="1" fillId="3" borderId="4" xfId="0" applyNumberFormat="1" applyFont="1" applyFill="1" applyBorder="1" applyAlignment="1">
      <alignment horizontal="center" vertical="center" wrapText="1"/>
    </xf>
    <xf numFmtId="165" fontId="1" fillId="3" borderId="4" xfId="0" applyNumberFormat="1" applyFont="1" applyFill="1" applyBorder="1" applyAlignment="1">
      <alignment horizontal="right" vertical="center" wrapText="1"/>
    </xf>
    <xf numFmtId="166" fontId="1" fillId="3" borderId="4" xfId="0" applyNumberFormat="1" applyFont="1" applyFill="1" applyBorder="1" applyAlignment="1">
      <alignment horizontal="right" vertical="center" wrapText="1"/>
    </xf>
    <xf numFmtId="3" fontId="2" fillId="3" borderId="4" xfId="0" applyNumberFormat="1" applyFont="1" applyFill="1" applyBorder="1" applyAlignment="1">
      <alignment vertical="center" wrapText="1"/>
    </xf>
    <xf numFmtId="3" fontId="1" fillId="3" borderId="4" xfId="0" applyNumberFormat="1" applyFont="1" applyFill="1" applyBorder="1" applyAlignment="1">
      <alignment horizontal="center" vertical="center" wrapText="1"/>
    </xf>
    <xf numFmtId="165" fontId="1" fillId="3" borderId="4" xfId="0" applyNumberFormat="1" applyFont="1" applyFill="1" applyBorder="1" applyAlignment="1">
      <alignment vertical="center"/>
    </xf>
    <xf numFmtId="3" fontId="0" fillId="3" borderId="4" xfId="0" applyNumberFormat="1" applyFill="1" applyBorder="1" applyAlignment="1">
      <alignment horizontal="center" vertical="center" wrapText="1"/>
    </xf>
    <xf numFmtId="3" fontId="1" fillId="3" borderId="4" xfId="0" applyNumberFormat="1" applyFont="1" applyFill="1" applyBorder="1" applyAlignment="1">
      <alignment vertical="center" wrapText="1"/>
    </xf>
    <xf numFmtId="2" fontId="1" fillId="5" borderId="4" xfId="0" applyNumberFormat="1" applyFont="1" applyFill="1" applyBorder="1" applyAlignment="1">
      <alignment horizontal="center" vertical="center" wrapText="1"/>
    </xf>
    <xf numFmtId="0" fontId="8" fillId="5" borderId="4" xfId="0" applyFont="1" applyFill="1" applyBorder="1" applyAlignment="1">
      <alignment horizontal="center" vertical="center" wrapText="1"/>
    </xf>
    <xf numFmtId="0" fontId="0" fillId="5" borderId="4" xfId="0" applyFill="1" applyBorder="1" applyAlignment="1">
      <alignment vertical="center" wrapText="1"/>
    </xf>
    <xf numFmtId="0" fontId="0" fillId="5" borderId="4" xfId="0" applyFill="1" applyBorder="1" applyAlignment="1">
      <alignment horizontal="center" vertical="center"/>
    </xf>
    <xf numFmtId="3" fontId="0" fillId="5" borderId="4" xfId="0" applyNumberFormat="1" applyFill="1" applyBorder="1" applyAlignment="1">
      <alignment horizontal="center" vertical="center"/>
    </xf>
    <xf numFmtId="0" fontId="1" fillId="5" borderId="4" xfId="0" applyFont="1" applyFill="1" applyBorder="1" applyAlignment="1">
      <alignment horizontal="center" vertical="center"/>
    </xf>
    <xf numFmtId="3" fontId="1" fillId="5" borderId="4" xfId="0" applyNumberFormat="1" applyFont="1" applyFill="1" applyBorder="1" applyAlignment="1">
      <alignment vertical="center"/>
    </xf>
    <xf numFmtId="166" fontId="1" fillId="5" borderId="4" xfId="0" applyNumberFormat="1" applyFont="1" applyFill="1" applyBorder="1" applyAlignment="1">
      <alignment horizontal="right" vertical="center" wrapText="1"/>
    </xf>
    <xf numFmtId="165" fontId="17" fillId="0" borderId="4" xfId="0" applyNumberFormat="1" applyFont="1" applyBorder="1" applyAlignment="1">
      <alignment horizontal="right" vertical="center" wrapText="1"/>
    </xf>
    <xf numFmtId="0" fontId="0" fillId="0" borderId="4" xfId="0" applyBorder="1" applyAlignment="1">
      <alignment horizontal="center" vertical="center" wrapText="1"/>
    </xf>
    <xf numFmtId="3" fontId="0" fillId="0" borderId="9" xfId="0" applyNumberFormat="1" applyBorder="1" applyAlignment="1">
      <alignment vertical="center" wrapText="1"/>
    </xf>
    <xf numFmtId="3" fontId="17" fillId="0" borderId="4" xfId="0" applyNumberFormat="1" applyFont="1" applyBorder="1" applyAlignment="1">
      <alignment vertical="center" wrapText="1"/>
    </xf>
    <xf numFmtId="3" fontId="17" fillId="0" borderId="4" xfId="0" applyNumberFormat="1" applyFont="1" applyFill="1" applyBorder="1" applyAlignment="1">
      <alignment vertical="center" wrapText="1"/>
    </xf>
    <xf numFmtId="0" fontId="0" fillId="0" borderId="9" xfId="0" applyBorder="1" applyAlignment="1">
      <alignment horizontal="center" vertical="center" wrapText="1"/>
    </xf>
    <xf numFmtId="3" fontId="0" fillId="0" borderId="4" xfId="0" applyNumberFormat="1" applyFill="1" applyBorder="1" applyAlignment="1">
      <alignment horizontal="right"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2" fontId="1" fillId="5" borderId="4" xfId="0" applyNumberFormat="1" applyFont="1" applyFill="1" applyBorder="1" applyAlignment="1">
      <alignment horizontal="center" vertical="center" wrapText="1"/>
    </xf>
    <xf numFmtId="2" fontId="0" fillId="0" borderId="15"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49" fontId="0" fillId="0" borderId="0" xfId="0" applyNumberFormat="1" applyAlignment="1">
      <alignment vertical="center"/>
    </xf>
    <xf numFmtId="165" fontId="17" fillId="0" borderId="4" xfId="0" applyNumberFormat="1" applyFont="1" applyFill="1" applyBorder="1" applyAlignment="1">
      <alignment horizontal="right" vertical="center" wrapText="1"/>
    </xf>
    <xf numFmtId="2" fontId="0" fillId="0" borderId="0" xfId="0" applyNumberFormat="1" applyBorder="1" applyAlignment="1">
      <alignment vertical="top" wrapText="1"/>
    </xf>
    <xf numFmtId="2" fontId="0" fillId="0" borderId="9" xfId="0" applyNumberFormat="1" applyBorder="1" applyAlignment="1">
      <alignment horizontal="center"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3" fontId="0" fillId="0" borderId="9" xfId="0" applyNumberFormat="1" applyBorder="1" applyAlignment="1">
      <alignment vertical="center" wrapText="1"/>
    </xf>
    <xf numFmtId="2" fontId="0" fillId="0" borderId="15"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1" fillId="5"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17" fillId="0" borderId="4" xfId="0" applyFont="1" applyBorder="1" applyAlignment="1">
      <alignment horizontal="center" vertical="center" wrapText="1"/>
    </xf>
    <xf numFmtId="2" fontId="17" fillId="0" borderId="4" xfId="0" applyNumberFormat="1" applyFont="1" applyBorder="1" applyAlignment="1">
      <alignment horizontal="center" vertical="center" wrapText="1"/>
    </xf>
    <xf numFmtId="3" fontId="17" fillId="0" borderId="4" xfId="0" applyNumberFormat="1" applyFont="1" applyBorder="1" applyAlignment="1">
      <alignment horizontal="right" vertical="center" wrapText="1"/>
    </xf>
    <xf numFmtId="0" fontId="17" fillId="0" borderId="9" xfId="0" applyFont="1" applyBorder="1" applyAlignment="1">
      <alignment horizontal="center"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3" fontId="0" fillId="0" borderId="9" xfId="0" applyNumberFormat="1" applyBorder="1" applyAlignment="1">
      <alignment vertical="center" wrapText="1"/>
    </xf>
    <xf numFmtId="2" fontId="0" fillId="0" borderId="15"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1" fillId="5" borderId="4" xfId="0" applyNumberFormat="1" applyFont="1" applyFill="1" applyBorder="1" applyAlignment="1">
      <alignment horizontal="center" vertical="center" wrapText="1"/>
    </xf>
    <xf numFmtId="0" fontId="17" fillId="0" borderId="4" xfId="0" applyFont="1" applyBorder="1" applyAlignment="1">
      <alignment horizontal="center" vertical="center" wrapText="1"/>
    </xf>
    <xf numFmtId="2" fontId="17" fillId="0" borderId="4" xfId="0" applyNumberFormat="1" applyFont="1" applyBorder="1" applyAlignment="1">
      <alignment horizontal="center" vertical="center" wrapText="1"/>
    </xf>
    <xf numFmtId="2" fontId="0" fillId="0" borderId="4" xfId="0" applyNumberFormat="1" applyFill="1" applyBorder="1" applyAlignment="1">
      <alignment horizontal="right" vertical="center" wrapText="1"/>
    </xf>
    <xf numFmtId="4" fontId="0" fillId="0" borderId="4" xfId="0" applyNumberFormat="1" applyFill="1" applyBorder="1" applyAlignment="1">
      <alignment vertical="center"/>
    </xf>
    <xf numFmtId="4" fontId="0" fillId="0" borderId="4" xfId="0" applyNumberFormat="1" applyBorder="1" applyAlignment="1">
      <alignment horizontal="right"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17" fillId="0" borderId="4" xfId="0" applyFont="1" applyBorder="1" applyAlignment="1">
      <alignment horizontal="center" vertical="center" wrapText="1"/>
    </xf>
    <xf numFmtId="3" fontId="1" fillId="3" borderId="4" xfId="0" applyNumberFormat="1" applyFont="1" applyFill="1" applyBorder="1" applyAlignment="1">
      <alignment horizontal="right" vertical="center"/>
    </xf>
    <xf numFmtId="3" fontId="0" fillId="0" borderId="4" xfId="0" applyNumberFormat="1" applyFill="1" applyBorder="1" applyAlignment="1">
      <alignment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2" fontId="0" fillId="0" borderId="15"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2" fontId="1" fillId="5" borderId="4" xfId="0" applyNumberFormat="1" applyFont="1" applyFill="1" applyBorder="1" applyAlignment="1">
      <alignment horizontal="center" vertical="center" wrapText="1"/>
    </xf>
    <xf numFmtId="0" fontId="17" fillId="0" borderId="4" xfId="0" applyFont="1" applyBorder="1" applyAlignment="1">
      <alignment horizontal="center"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2" fontId="0" fillId="0" borderId="4" xfId="0" applyNumberFormat="1" applyFill="1" applyBorder="1" applyAlignment="1">
      <alignment horizontal="center" vertical="center" wrapText="1"/>
    </xf>
    <xf numFmtId="2" fontId="1" fillId="5" borderId="4" xfId="0" applyNumberFormat="1" applyFont="1" applyFill="1" applyBorder="1" applyAlignment="1">
      <alignment horizontal="center" vertical="center" wrapText="1"/>
    </xf>
    <xf numFmtId="0" fontId="17" fillId="0" borderId="4" xfId="0" applyFont="1" applyBorder="1" applyAlignment="1">
      <alignment horizontal="center" vertical="center" wrapText="1"/>
    </xf>
    <xf numFmtId="0" fontId="0" fillId="0" borderId="12" xfId="0" applyBorder="1" applyAlignment="1">
      <alignment horizontal="center" vertical="center" wrapText="1"/>
    </xf>
    <xf numFmtId="3" fontId="17" fillId="0" borderId="4" xfId="0" applyNumberFormat="1" applyFont="1" applyBorder="1" applyAlignment="1">
      <alignment horizontal="center" vertical="center" wrapText="1"/>
    </xf>
    <xf numFmtId="3" fontId="20" fillId="3" borderId="4" xfId="0" applyNumberFormat="1" applyFont="1" applyFill="1" applyBorder="1" applyAlignment="1">
      <alignment vertical="center" wrapText="1"/>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3" fontId="0" fillId="0" borderId="9" xfId="0" applyNumberFormat="1" applyBorder="1" applyAlignment="1">
      <alignment vertical="center" wrapText="1"/>
    </xf>
    <xf numFmtId="0" fontId="17" fillId="0" borderId="4" xfId="0" applyFont="1" applyBorder="1" applyAlignment="1">
      <alignment horizontal="center" vertical="center" wrapText="1"/>
    </xf>
    <xf numFmtId="2" fontId="17" fillId="0" borderId="4" xfId="0" applyNumberFormat="1" applyFont="1" applyBorder="1" applyAlignment="1">
      <alignment horizontal="center" vertical="center" wrapText="1"/>
    </xf>
    <xf numFmtId="0" fontId="0" fillId="0" borderId="12" xfId="0" applyBorder="1" applyAlignment="1">
      <alignment horizontal="center" vertical="center" wrapText="1"/>
    </xf>
    <xf numFmtId="0" fontId="17" fillId="0" borderId="0" xfId="0" applyFont="1" applyBorder="1" applyAlignment="1">
      <alignment horizontal="center" vertical="center" wrapText="1"/>
    </xf>
    <xf numFmtId="2" fontId="17" fillId="0" borderId="0" xfId="0" applyNumberFormat="1" applyFont="1" applyBorder="1" applyAlignment="1">
      <alignment horizontal="center" vertical="center" wrapText="1"/>
    </xf>
    <xf numFmtId="3" fontId="17" fillId="0" borderId="0" xfId="0" applyNumberFormat="1" applyFont="1" applyBorder="1" applyAlignment="1">
      <alignment horizontal="right" vertical="center" wrapText="1"/>
    </xf>
    <xf numFmtId="0" fontId="0" fillId="0" borderId="0" xfId="0" applyBorder="1" applyAlignment="1">
      <alignment horizontal="center" vertical="center" wrapText="1"/>
    </xf>
    <xf numFmtId="3" fontId="17" fillId="0" borderId="0" xfId="0" applyNumberFormat="1" applyFont="1" applyBorder="1" applyAlignment="1">
      <alignment vertical="center" wrapText="1"/>
    </xf>
    <xf numFmtId="3" fontId="0" fillId="0" borderId="0" xfId="0" applyNumberFormat="1" applyBorder="1" applyAlignment="1">
      <alignment horizontal="center" vertical="center" wrapText="1"/>
    </xf>
    <xf numFmtId="2" fontId="0" fillId="0" borderId="0" xfId="0" applyNumberFormat="1" applyBorder="1" applyAlignment="1">
      <alignment horizontal="center" vertical="center" wrapText="1"/>
    </xf>
    <xf numFmtId="3" fontId="0" fillId="0" borderId="0" xfId="0" applyNumberFormat="1" applyBorder="1" applyAlignment="1">
      <alignment vertical="center" wrapText="1"/>
    </xf>
    <xf numFmtId="0" fontId="0" fillId="2" borderId="4" xfId="0" applyFill="1" applyBorder="1" applyAlignment="1">
      <alignment horizontal="center" vertical="center"/>
    </xf>
    <xf numFmtId="0" fontId="0" fillId="0" borderId="4" xfId="0" applyBorder="1" applyAlignment="1">
      <alignment horizontal="center" vertical="center" wrapText="1"/>
    </xf>
    <xf numFmtId="2" fontId="0" fillId="0" borderId="4" xfId="0" applyNumberFormat="1" applyBorder="1" applyAlignment="1">
      <alignment horizontal="center" vertical="center" wrapText="1"/>
    </xf>
    <xf numFmtId="0" fontId="1" fillId="2" borderId="15"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4" xfId="0" applyFill="1" applyBorder="1" applyAlignment="1">
      <alignment horizontal="center" vertical="center"/>
    </xf>
    <xf numFmtId="2" fontId="0" fillId="0" borderId="4" xfId="0" applyNumberFormat="1" applyFill="1" applyBorder="1" applyAlignment="1">
      <alignment horizontal="center" vertical="center" wrapText="1"/>
    </xf>
    <xf numFmtId="0" fontId="3" fillId="2" borderId="4" xfId="0" applyFont="1" applyFill="1" applyBorder="1" applyAlignment="1">
      <alignment horizontal="center" vertical="center" wrapText="1"/>
    </xf>
    <xf numFmtId="2" fontId="0" fillId="0" borderId="0" xfId="0" applyNumberFormat="1" applyBorder="1" applyAlignment="1">
      <alignment horizontal="left" vertical="center" wrapText="1"/>
    </xf>
    <xf numFmtId="0" fontId="4" fillId="2" borderId="0" xfId="0" applyFont="1" applyFill="1" applyAlignment="1">
      <alignment horizontal="center" vertical="center"/>
    </xf>
    <xf numFmtId="2" fontId="1" fillId="0" borderId="4" xfId="0" applyNumberFormat="1" applyFont="1" applyBorder="1" applyAlignment="1">
      <alignment horizontal="center" vertical="center" wrapText="1"/>
    </xf>
    <xf numFmtId="2" fontId="3"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xf>
    <xf numFmtId="2" fontId="0" fillId="0" borderId="4" xfId="0" applyNumberFormat="1" applyBorder="1" applyAlignment="1">
      <alignment horizontal="left" vertical="center" wrapText="1"/>
    </xf>
    <xf numFmtId="0" fontId="5" fillId="0" borderId="0" xfId="0" applyFont="1" applyAlignment="1">
      <alignment horizontal="center"/>
    </xf>
    <xf numFmtId="2" fontId="1" fillId="0" borderId="2" xfId="0" applyNumberFormat="1" applyFont="1" applyBorder="1" applyAlignment="1">
      <alignment horizontal="center" vertical="center" wrapText="1"/>
    </xf>
    <xf numFmtId="0" fontId="0" fillId="0" borderId="16" xfId="0" applyBorder="1" applyAlignment="1">
      <alignment horizontal="left"/>
    </xf>
    <xf numFmtId="0" fontId="0" fillId="0" borderId="17" xfId="0" applyBorder="1" applyAlignment="1">
      <alignment horizontal="left"/>
    </xf>
    <xf numFmtId="2" fontId="0" fillId="0" borderId="9" xfId="0" applyNumberFormat="1" applyBorder="1" applyAlignment="1">
      <alignment horizontal="left" vertical="center" wrapText="1"/>
    </xf>
    <xf numFmtId="0" fontId="9" fillId="0" borderId="1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0" fillId="0" borderId="7" xfId="0" applyBorder="1" applyAlignment="1">
      <alignment horizontal="left"/>
    </xf>
    <xf numFmtId="0" fontId="7" fillId="3" borderId="4" xfId="0" applyFont="1" applyFill="1" applyBorder="1" applyAlignment="1">
      <alignment horizontal="center" vertical="center" wrapText="1"/>
    </xf>
    <xf numFmtId="3" fontId="0" fillId="0" borderId="9" xfId="0" applyNumberFormat="1" applyBorder="1" applyAlignment="1">
      <alignment vertical="center"/>
    </xf>
    <xf numFmtId="3" fontId="0" fillId="0" borderId="18" xfId="0" applyNumberFormat="1" applyBorder="1" applyAlignment="1">
      <alignment vertical="center"/>
    </xf>
    <xf numFmtId="3" fontId="0" fillId="0" borderId="9" xfId="0" applyNumberFormat="1" applyBorder="1" applyAlignment="1">
      <alignment vertical="center" wrapText="1"/>
    </xf>
    <xf numFmtId="3" fontId="0" fillId="0" borderId="19" xfId="0" applyNumberFormat="1" applyBorder="1" applyAlignment="1">
      <alignment vertical="center" wrapText="1"/>
    </xf>
    <xf numFmtId="3" fontId="0" fillId="0" borderId="18" xfId="0" applyNumberFormat="1" applyBorder="1" applyAlignment="1">
      <alignment vertical="center" wrapText="1"/>
    </xf>
    <xf numFmtId="3" fontId="0" fillId="0" borderId="9"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8" xfId="0" applyNumberFormat="1" applyBorder="1" applyAlignment="1">
      <alignment horizontal="center" vertical="center" wrapText="1"/>
    </xf>
    <xf numFmtId="0" fontId="6" fillId="2" borderId="0" xfId="0" applyFont="1" applyFill="1" applyAlignment="1">
      <alignment horizontal="center" vertical="center"/>
    </xf>
    <xf numFmtId="2" fontId="6" fillId="0" borderId="4" xfId="0" applyNumberFormat="1" applyFont="1" applyBorder="1" applyAlignment="1">
      <alignment horizontal="center" vertical="center" wrapText="1"/>
    </xf>
    <xf numFmtId="2" fontId="14" fillId="2" borderId="4" xfId="0" applyNumberFormat="1" applyFont="1" applyFill="1" applyBorder="1" applyAlignment="1">
      <alignment horizontal="center" vertical="center" wrapText="1"/>
    </xf>
    <xf numFmtId="0" fontId="13" fillId="0" borderId="4" xfId="0" applyFont="1" applyBorder="1" applyAlignment="1">
      <alignment horizontal="center" vertical="center" wrapText="1"/>
    </xf>
    <xf numFmtId="2" fontId="13" fillId="0" borderId="4" xfId="0" applyNumberFormat="1" applyFont="1" applyBorder="1" applyAlignment="1">
      <alignment horizontal="center" vertical="center" wrapText="1"/>
    </xf>
    <xf numFmtId="0" fontId="14" fillId="2" borderId="4" xfId="0" applyFont="1" applyFill="1" applyBorder="1" applyAlignment="1">
      <alignment horizontal="center" vertical="center" wrapText="1"/>
    </xf>
    <xf numFmtId="3" fontId="13" fillId="0" borderId="9" xfId="0" applyNumberFormat="1" applyFont="1" applyBorder="1" applyAlignment="1">
      <alignment horizontal="center" vertical="center" wrapText="1"/>
    </xf>
    <xf numFmtId="3" fontId="13" fillId="0" borderId="19"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2" fontId="13" fillId="0" borderId="0" xfId="0" applyNumberFormat="1" applyFont="1" applyBorder="1" applyAlignment="1">
      <alignment horizontal="left" vertical="center" wrapText="1"/>
    </xf>
    <xf numFmtId="0" fontId="6" fillId="2" borderId="1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13" fillId="0" borderId="4" xfId="0" applyFont="1" applyFill="1" applyBorder="1" applyAlignment="1">
      <alignment horizontal="center" vertical="center"/>
    </xf>
    <xf numFmtId="2" fontId="13" fillId="0" borderId="4" xfId="0" applyNumberFormat="1" applyFont="1" applyFill="1" applyBorder="1" applyAlignment="1">
      <alignment horizontal="center" vertical="center" wrapText="1"/>
    </xf>
    <xf numFmtId="0" fontId="13" fillId="2" borderId="4" xfId="0" applyFont="1" applyFill="1" applyBorder="1" applyAlignment="1">
      <alignment horizontal="center" vertical="center"/>
    </xf>
    <xf numFmtId="0" fontId="1" fillId="2" borderId="12" xfId="0" applyFont="1" applyFill="1" applyBorder="1" applyAlignment="1">
      <alignment horizontal="center" vertical="center" wrapText="1"/>
    </xf>
    <xf numFmtId="2" fontId="0" fillId="0" borderId="15" xfId="0" applyNumberFormat="1" applyBorder="1" applyAlignment="1">
      <alignment horizontal="center" vertical="center" wrapText="1"/>
    </xf>
    <xf numFmtId="2" fontId="0" fillId="0" borderId="12" xfId="0" applyNumberFormat="1" applyBorder="1" applyAlignment="1">
      <alignment horizontal="center" vertical="center" wrapText="1"/>
    </xf>
    <xf numFmtId="0" fontId="3" fillId="2" borderId="15"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2" fontId="0" fillId="0" borderId="20" xfId="0" applyNumberFormat="1" applyBorder="1" applyAlignment="1">
      <alignment horizontal="left" vertical="center" wrapText="1"/>
    </xf>
    <xf numFmtId="49" fontId="0" fillId="0" borderId="0" xfId="0" applyNumberFormat="1" applyFont="1" applyAlignment="1">
      <alignment horizontal="left" vertical="center"/>
    </xf>
    <xf numFmtId="2" fontId="0" fillId="0" borderId="15" xfId="0" applyNumberFormat="1" applyFill="1" applyBorder="1" applyAlignment="1">
      <alignment horizontal="center" vertical="center" wrapText="1"/>
    </xf>
    <xf numFmtId="2" fontId="0" fillId="0" borderId="12" xfId="0" applyNumberFormat="1" applyFill="1" applyBorder="1" applyAlignment="1">
      <alignment horizontal="center" vertical="center" wrapText="1"/>
    </xf>
    <xf numFmtId="3" fontId="0" fillId="0" borderId="9" xfId="0" applyNumberFormat="1" applyBorder="1" applyAlignment="1">
      <alignment horizontal="right" vertical="center" wrapText="1"/>
    </xf>
    <xf numFmtId="3" fontId="0" fillId="0" borderId="19" xfId="0" applyNumberFormat="1" applyBorder="1" applyAlignment="1">
      <alignment horizontal="right" vertical="center" wrapText="1"/>
    </xf>
    <xf numFmtId="3" fontId="0" fillId="0" borderId="18" xfId="0" applyNumberFormat="1" applyBorder="1" applyAlignment="1">
      <alignment horizontal="right" vertical="center" wrapText="1"/>
    </xf>
    <xf numFmtId="0" fontId="0" fillId="2" borderId="15" xfId="0" applyFill="1" applyBorder="1" applyAlignment="1">
      <alignment horizontal="center" vertical="center"/>
    </xf>
    <xf numFmtId="0" fontId="0" fillId="2" borderId="12" xfId="0" applyFill="1" applyBorder="1" applyAlignment="1">
      <alignment horizontal="center" vertical="center"/>
    </xf>
    <xf numFmtId="2" fontId="1" fillId="5" borderId="4" xfId="0" applyNumberFormat="1" applyFont="1" applyFill="1" applyBorder="1" applyAlignment="1">
      <alignment horizontal="center" vertical="center" wrapText="1"/>
    </xf>
    <xf numFmtId="2" fontId="3" fillId="3" borderId="4" xfId="0" applyNumberFormat="1" applyFont="1" applyFill="1" applyBorder="1" applyAlignment="1">
      <alignment horizontal="center" vertical="center" wrapText="1"/>
    </xf>
    <xf numFmtId="0" fontId="0" fillId="5" borderId="15" xfId="0" applyFill="1" applyBorder="1" applyAlignment="1">
      <alignment horizontal="center" vertical="center"/>
    </xf>
    <xf numFmtId="0" fontId="0" fillId="5" borderId="12" xfId="0" applyFill="1" applyBorder="1" applyAlignment="1">
      <alignment horizontal="center" vertical="center"/>
    </xf>
    <xf numFmtId="0" fontId="4" fillId="3" borderId="0" xfId="0" applyFont="1" applyFill="1" applyAlignment="1">
      <alignment horizontal="center" vertical="center"/>
    </xf>
    <xf numFmtId="0" fontId="1" fillId="3" borderId="1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2" fontId="0" fillId="0" borderId="0" xfId="0" applyNumberFormat="1" applyBorder="1" applyAlignment="1">
      <alignment horizontal="left" vertical="top" wrapText="1"/>
    </xf>
    <xf numFmtId="0" fontId="0" fillId="0" borderId="15" xfId="0" applyFill="1" applyBorder="1" applyAlignment="1">
      <alignment horizontal="center" vertical="center" wrapText="1"/>
    </xf>
    <xf numFmtId="0" fontId="0" fillId="0" borderId="12" xfId="0" applyFill="1" applyBorder="1" applyAlignment="1">
      <alignment horizontal="center" vertical="center" wrapText="1"/>
    </xf>
    <xf numFmtId="0" fontId="17" fillId="0" borderId="4" xfId="0" applyFont="1" applyBorder="1" applyAlignment="1">
      <alignment horizontal="center" vertical="center" wrapText="1"/>
    </xf>
    <xf numFmtId="2" fontId="17" fillId="0" borderId="4" xfId="0" applyNumberFormat="1" applyFont="1" applyBorder="1" applyAlignment="1">
      <alignment horizontal="center" vertical="center" wrapText="1"/>
    </xf>
    <xf numFmtId="3" fontId="17" fillId="0" borderId="9" xfId="0" applyNumberFormat="1" applyFont="1" applyBorder="1" applyAlignment="1">
      <alignment horizontal="center" vertical="center" wrapText="1"/>
    </xf>
    <xf numFmtId="3" fontId="17" fillId="0" borderId="19" xfId="0" applyNumberFormat="1" applyFont="1" applyBorder="1" applyAlignment="1">
      <alignment horizontal="center" vertical="center" wrapText="1"/>
    </xf>
    <xf numFmtId="3" fontId="17" fillId="0" borderId="18" xfId="0" applyNumberFormat="1" applyFont="1" applyBorder="1" applyAlignment="1">
      <alignment horizontal="center" vertical="center" wrapText="1"/>
    </xf>
    <xf numFmtId="3" fontId="17" fillId="0" borderId="9" xfId="0" applyNumberFormat="1" applyFont="1" applyBorder="1" applyAlignment="1">
      <alignment horizontal="right" vertical="center" wrapText="1"/>
    </xf>
    <xf numFmtId="3" fontId="17" fillId="0" borderId="18" xfId="0" applyNumberFormat="1" applyFont="1" applyBorder="1" applyAlignment="1">
      <alignment horizontal="right"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2" fontId="17" fillId="0" borderId="15" xfId="0" applyNumberFormat="1" applyFont="1" applyBorder="1" applyAlignment="1">
      <alignment horizontal="center" vertical="center" wrapText="1"/>
    </xf>
    <xf numFmtId="2" fontId="17" fillId="0" borderId="12" xfId="0" applyNumberFormat="1" applyFont="1" applyBorder="1" applyAlignment="1">
      <alignment horizontal="center" vertical="center" wrapText="1"/>
    </xf>
    <xf numFmtId="3" fontId="17" fillId="0" borderId="19" xfId="0" applyNumberFormat="1" applyFont="1" applyBorder="1" applyAlignment="1">
      <alignment horizontal="right" vertical="center" wrapText="1"/>
    </xf>
    <xf numFmtId="0" fontId="17" fillId="0" borderId="15" xfId="0" applyFont="1" applyBorder="1" applyAlignment="1">
      <alignment horizontal="center" vertical="center" wrapText="1"/>
    </xf>
    <xf numFmtId="0" fontId="17" fillId="0" borderId="12" xfId="0" applyFont="1" applyBorder="1" applyAlignment="1">
      <alignment horizontal="center" vertical="center" wrapText="1"/>
    </xf>
    <xf numFmtId="0" fontId="19" fillId="3" borderId="1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7" fillId="0" borderId="0" xfId="0" applyFont="1" applyBorder="1" applyAlignment="1">
      <alignment horizontal="center" vertical="center" wrapText="1"/>
    </xf>
    <xf numFmtId="2" fontId="17" fillId="0" borderId="0" xfId="0" applyNumberFormat="1" applyFont="1" applyBorder="1" applyAlignment="1">
      <alignment horizontal="center" vertical="center" wrapText="1"/>
    </xf>
    <xf numFmtId="3" fontId="17" fillId="0" borderId="0" xfId="0" applyNumberFormat="1" applyFont="1" applyBorder="1" applyAlignment="1">
      <alignment horizontal="right" vertical="center" wrapText="1"/>
    </xf>
    <xf numFmtId="2" fontId="0" fillId="0" borderId="0" xfId="0" applyNumberFormat="1" applyBorder="1" applyAlignment="1">
      <alignment horizontal="center" vertical="center" wrapText="1"/>
    </xf>
    <xf numFmtId="3" fontId="17" fillId="0" borderId="0"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tih/Desktop/faaliyet%20raporu%202009%20son1/2009%20SGDB%20faaliyet%20raporu/2009%20SGDB%20faaliyet%20tablo%20grafikl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fatih\Desktop\faaliyet%20raporu%202009%20son1\2009%20SGDB%20faaliyet%20raporu\2009%20SGDB%20faaliyet%20tablo%20grafikl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db fiziki koşullar"/>
      <sheetName val="sgdb personel"/>
      <sheetName val="bütçe uyg.sonuçları"/>
      <sheetName val="faaliyet sonuçları"/>
      <sheetName val="MİZAN"/>
      <sheetName val="gelir"/>
      <sheetName val="Sayfa1"/>
      <sheetName val="Sayfa2"/>
      <sheetName val="Sayfa3"/>
      <sheetName val="Sayfa4"/>
      <sheetName val="Sayfa5"/>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db fiziki koşullar"/>
      <sheetName val="sgdb personel"/>
      <sheetName val="bütçe uyg.sonuçları"/>
      <sheetName val="faaliyet sonuçları"/>
      <sheetName val="MİZAN"/>
      <sheetName val="gelir"/>
      <sheetName val="Sayfa1"/>
      <sheetName val="Sayfa2"/>
      <sheetName val="Sayfa3"/>
      <sheetName val="Sayfa4"/>
      <sheetName val="Sayfa5"/>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topLeftCell="D16" zoomScale="88" zoomScaleNormal="88" workbookViewId="0">
      <selection activeCell="M36" sqref="M36"/>
    </sheetView>
  </sheetViews>
  <sheetFormatPr defaultRowHeight="15" x14ac:dyDescent="0.25"/>
  <cols>
    <col min="1" max="1" width="15.140625" style="1" customWidth="1"/>
    <col min="2" max="2" width="9.140625" style="1"/>
    <col min="3" max="3" width="16.7109375" style="1" customWidth="1"/>
    <col min="4" max="4" width="9.140625" style="1"/>
    <col min="5" max="5" width="16.7109375" style="1" customWidth="1"/>
    <col min="6" max="7" width="14" style="1" customWidth="1"/>
    <col min="8" max="8" width="34.7109375" style="1" customWidth="1"/>
    <col min="9" max="9" width="14.7109375" style="1" customWidth="1"/>
    <col min="10" max="10" width="28.42578125" style="6" customWidth="1"/>
    <col min="11" max="11" width="11.85546875" style="1" bestFit="1" customWidth="1"/>
    <col min="12" max="12" width="10.5703125" style="1" bestFit="1" customWidth="1"/>
    <col min="13" max="14" width="13" style="1" customWidth="1"/>
    <col min="15" max="15" width="13.7109375" style="1" customWidth="1"/>
    <col min="16" max="16" width="13.140625" style="1" customWidth="1"/>
    <col min="17" max="16384" width="9.140625" style="1"/>
  </cols>
  <sheetData>
    <row r="1" spans="1:17" ht="19.5" customHeight="1" x14ac:dyDescent="0.25"/>
    <row r="2" spans="1:17" ht="20.25" customHeight="1" x14ac:dyDescent="0.25">
      <c r="A2" s="287" t="s">
        <v>134</v>
      </c>
      <c r="B2" s="287"/>
      <c r="C2" s="287"/>
      <c r="D2" s="287"/>
      <c r="E2" s="287"/>
      <c r="F2" s="287"/>
      <c r="G2" s="287"/>
      <c r="H2" s="287"/>
      <c r="I2" s="287"/>
      <c r="J2" s="287"/>
      <c r="K2" s="287"/>
      <c r="L2" s="287"/>
      <c r="M2" s="287"/>
      <c r="N2" s="287"/>
      <c r="O2" s="287"/>
      <c r="P2" s="287"/>
      <c r="Q2" s="287"/>
    </row>
    <row r="4" spans="1:17" ht="44.25" customHeight="1" x14ac:dyDescent="0.25">
      <c r="A4" s="83" t="s">
        <v>0</v>
      </c>
      <c r="B4" s="288" t="s">
        <v>1</v>
      </c>
      <c r="C4" s="288"/>
      <c r="D4" s="288" t="s">
        <v>2</v>
      </c>
      <c r="E4" s="288"/>
      <c r="F4" s="83" t="s">
        <v>27</v>
      </c>
      <c r="G4" s="83" t="s">
        <v>52</v>
      </c>
      <c r="H4" s="83" t="s">
        <v>28</v>
      </c>
      <c r="I4" s="86" t="s">
        <v>137</v>
      </c>
      <c r="J4" s="83" t="s">
        <v>25</v>
      </c>
      <c r="K4" s="68" t="s">
        <v>108</v>
      </c>
      <c r="L4" s="68" t="s">
        <v>109</v>
      </c>
      <c r="M4" s="68" t="s">
        <v>110</v>
      </c>
      <c r="N4" s="68" t="s">
        <v>111</v>
      </c>
      <c r="O4" s="107">
        <v>40908</v>
      </c>
      <c r="P4" s="68" t="s">
        <v>113</v>
      </c>
      <c r="Q4" s="68" t="s">
        <v>114</v>
      </c>
    </row>
    <row r="5" spans="1:17" s="96" customFormat="1" ht="18.75" customHeight="1" x14ac:dyDescent="0.25">
      <c r="A5" s="289" t="s">
        <v>22</v>
      </c>
      <c r="B5" s="289"/>
      <c r="C5" s="289"/>
      <c r="D5" s="289"/>
      <c r="E5" s="289"/>
      <c r="F5" s="289"/>
      <c r="G5" s="289"/>
      <c r="H5" s="289"/>
      <c r="I5" s="52">
        <f>SUM(I6:I18)</f>
        <v>14998000</v>
      </c>
      <c r="J5" s="58"/>
      <c r="K5" s="52">
        <f>SUM(K6:K18)</f>
        <v>14998000</v>
      </c>
      <c r="L5" s="103">
        <f>SUM(L6:L18)</f>
        <v>220000</v>
      </c>
      <c r="M5" s="104">
        <f t="shared" ref="M5:P5" si="0">SUM(M6:M18)</f>
        <v>5230000</v>
      </c>
      <c r="N5" s="104">
        <f t="shared" si="0"/>
        <v>20008000</v>
      </c>
      <c r="O5" s="104">
        <f t="shared" ref="O5" si="1">SUM(O6:O18)</f>
        <v>15980850.680000003</v>
      </c>
      <c r="P5" s="104">
        <f t="shared" si="0"/>
        <v>4027149.3199999994</v>
      </c>
      <c r="Q5" s="73">
        <f>(O5*100)/N5</f>
        <v>79.872304478208733</v>
      </c>
    </row>
    <row r="6" spans="1:17" s="4" customFormat="1" ht="30.75" customHeight="1" x14ac:dyDescent="0.25">
      <c r="A6" s="84" t="s">
        <v>135</v>
      </c>
      <c r="B6" s="279" t="s">
        <v>3</v>
      </c>
      <c r="C6" s="279"/>
      <c r="D6" s="280" t="s">
        <v>12</v>
      </c>
      <c r="E6" s="280"/>
      <c r="F6" s="85" t="s">
        <v>136</v>
      </c>
      <c r="G6" s="5">
        <v>200000</v>
      </c>
      <c r="H6" s="80" t="s">
        <v>29</v>
      </c>
      <c r="I6" s="3">
        <v>200000</v>
      </c>
      <c r="J6" s="50" t="s">
        <v>62</v>
      </c>
      <c r="K6" s="3">
        <v>200000</v>
      </c>
      <c r="L6" s="69"/>
      <c r="M6" s="71">
        <v>220000</v>
      </c>
      <c r="N6" s="71">
        <f>I6-L6+M6</f>
        <v>420000</v>
      </c>
      <c r="O6" s="94">
        <v>400580.5</v>
      </c>
      <c r="P6" s="71">
        <f>N6-O6</f>
        <v>19419.5</v>
      </c>
      <c r="Q6" s="72">
        <f t="shared" ref="Q6:Q26" si="2">(O6*100)/N6</f>
        <v>95.376309523809525</v>
      </c>
    </row>
    <row r="7" spans="1:17" s="4" customFormat="1" ht="30.75" customHeight="1" x14ac:dyDescent="0.25">
      <c r="A7" s="80" t="s">
        <v>4</v>
      </c>
      <c r="B7" s="279" t="s">
        <v>5</v>
      </c>
      <c r="C7" s="279"/>
      <c r="D7" s="280" t="s">
        <v>6</v>
      </c>
      <c r="E7" s="280"/>
      <c r="F7" s="81" t="s">
        <v>54</v>
      </c>
      <c r="G7" s="5">
        <v>10000000</v>
      </c>
      <c r="H7" s="80" t="s">
        <v>30</v>
      </c>
      <c r="I7" s="3">
        <v>1000000</v>
      </c>
      <c r="J7" s="50" t="s">
        <v>62</v>
      </c>
      <c r="K7" s="3">
        <v>1000000</v>
      </c>
      <c r="L7" s="69"/>
      <c r="M7" s="71"/>
      <c r="N7" s="71">
        <f t="shared" ref="N7:N25" si="3">I7-L7+M7</f>
        <v>1000000</v>
      </c>
      <c r="O7" s="94">
        <v>647652.81000000006</v>
      </c>
      <c r="P7" s="71">
        <f t="shared" ref="P7:P25" si="4">N7-O7</f>
        <v>352347.18999999994</v>
      </c>
      <c r="Q7" s="72">
        <f t="shared" si="2"/>
        <v>64.765281000000002</v>
      </c>
    </row>
    <row r="8" spans="1:17" s="4" customFormat="1" ht="30.75" customHeight="1" x14ac:dyDescent="0.25">
      <c r="A8" s="80" t="s">
        <v>7</v>
      </c>
      <c r="B8" s="279" t="s">
        <v>8</v>
      </c>
      <c r="C8" s="279"/>
      <c r="D8" s="280" t="s">
        <v>138</v>
      </c>
      <c r="E8" s="280"/>
      <c r="F8" s="81" t="s">
        <v>54</v>
      </c>
      <c r="G8" s="5">
        <v>30000000</v>
      </c>
      <c r="H8" s="80" t="s">
        <v>31</v>
      </c>
      <c r="I8" s="3">
        <v>9298000</v>
      </c>
      <c r="J8" s="50" t="s">
        <v>62</v>
      </c>
      <c r="K8" s="3">
        <v>9298000</v>
      </c>
      <c r="L8" s="69">
        <v>220000</v>
      </c>
      <c r="M8" s="71"/>
      <c r="N8" s="71">
        <f>I8-L8+M8</f>
        <v>9078000</v>
      </c>
      <c r="O8" s="94">
        <v>6018159.9800000004</v>
      </c>
      <c r="P8" s="71">
        <f>N8-O8</f>
        <v>3059840.0199999996</v>
      </c>
      <c r="Q8" s="72">
        <f t="shared" si="2"/>
        <v>66.293897113901735</v>
      </c>
    </row>
    <row r="9" spans="1:17" s="4" customFormat="1" ht="30.75" customHeight="1" x14ac:dyDescent="0.25">
      <c r="A9" s="80" t="s">
        <v>7</v>
      </c>
      <c r="B9" s="279" t="s">
        <v>8</v>
      </c>
      <c r="C9" s="279"/>
      <c r="D9" s="280" t="s">
        <v>138</v>
      </c>
      <c r="E9" s="280"/>
      <c r="F9" s="81" t="s">
        <v>54</v>
      </c>
      <c r="G9" s="5">
        <v>30000000</v>
      </c>
      <c r="H9" s="98" t="s">
        <v>155</v>
      </c>
      <c r="I9" s="3">
        <v>500000</v>
      </c>
      <c r="J9" s="50" t="s">
        <v>63</v>
      </c>
      <c r="K9" s="3">
        <v>500000</v>
      </c>
      <c r="L9" s="69"/>
      <c r="M9" s="71"/>
      <c r="N9" s="71">
        <f t="shared" si="3"/>
        <v>500000</v>
      </c>
      <c r="O9" s="94">
        <f>350461.77+29102.75</f>
        <v>379564.52</v>
      </c>
      <c r="P9" s="71">
        <f t="shared" si="4"/>
        <v>120435.47999999998</v>
      </c>
      <c r="Q9" s="72">
        <f t="shared" si="2"/>
        <v>75.912903999999997</v>
      </c>
    </row>
    <row r="10" spans="1:17" s="4" customFormat="1" ht="30.75" customHeight="1" x14ac:dyDescent="0.25">
      <c r="A10" s="84" t="s">
        <v>139</v>
      </c>
      <c r="B10" s="279" t="s">
        <v>11</v>
      </c>
      <c r="C10" s="279"/>
      <c r="D10" s="280" t="s">
        <v>13</v>
      </c>
      <c r="E10" s="280"/>
      <c r="F10" s="85" t="s">
        <v>136</v>
      </c>
      <c r="G10" s="3">
        <v>100000</v>
      </c>
      <c r="H10" s="80" t="s">
        <v>32</v>
      </c>
      <c r="I10" s="3">
        <v>200000</v>
      </c>
      <c r="J10" s="50" t="s">
        <v>63</v>
      </c>
      <c r="K10" s="3">
        <v>200000</v>
      </c>
      <c r="L10" s="69"/>
      <c r="M10" s="71">
        <v>100000</v>
      </c>
      <c r="N10" s="71">
        <f t="shared" si="3"/>
        <v>300000</v>
      </c>
      <c r="O10" s="94">
        <v>471401.24</v>
      </c>
      <c r="P10" s="71">
        <f t="shared" si="4"/>
        <v>-171401.24</v>
      </c>
      <c r="Q10" s="72">
        <f t="shared" si="2"/>
        <v>157.13374666666667</v>
      </c>
    </row>
    <row r="11" spans="1:17" s="4" customFormat="1" ht="30.75" customHeight="1" x14ac:dyDescent="0.25">
      <c r="A11" s="84" t="s">
        <v>139</v>
      </c>
      <c r="B11" s="279" t="s">
        <v>11</v>
      </c>
      <c r="C11" s="279"/>
      <c r="D11" s="280" t="s">
        <v>35</v>
      </c>
      <c r="E11" s="280"/>
      <c r="F11" s="85" t="s">
        <v>136</v>
      </c>
      <c r="G11" s="3">
        <v>100000</v>
      </c>
      <c r="H11" s="80" t="s">
        <v>36</v>
      </c>
      <c r="I11" s="3">
        <v>100000</v>
      </c>
      <c r="J11" s="50" t="s">
        <v>63</v>
      </c>
      <c r="K11" s="3">
        <v>100000</v>
      </c>
      <c r="L11" s="69"/>
      <c r="M11" s="71"/>
      <c r="N11" s="71">
        <f t="shared" si="3"/>
        <v>100000</v>
      </c>
      <c r="O11" s="94">
        <f>98078.02+4322.34</f>
        <v>102400.36</v>
      </c>
      <c r="P11" s="71">
        <f t="shared" si="4"/>
        <v>-2400.3600000000006</v>
      </c>
      <c r="Q11" s="72">
        <f t="shared" si="2"/>
        <v>102.40036000000001</v>
      </c>
    </row>
    <row r="12" spans="1:17" s="4" customFormat="1" ht="30.75" customHeight="1" x14ac:dyDescent="0.25">
      <c r="A12" s="84" t="s">
        <v>139</v>
      </c>
      <c r="B12" s="279" t="s">
        <v>11</v>
      </c>
      <c r="C12" s="279"/>
      <c r="D12" s="280" t="s">
        <v>14</v>
      </c>
      <c r="E12" s="280"/>
      <c r="F12" s="85" t="s">
        <v>136</v>
      </c>
      <c r="G12" s="3">
        <v>450000</v>
      </c>
      <c r="H12" s="80" t="s">
        <v>33</v>
      </c>
      <c r="I12" s="3">
        <v>450000</v>
      </c>
      <c r="J12" s="50" t="s">
        <v>64</v>
      </c>
      <c r="K12" s="3">
        <v>450000</v>
      </c>
      <c r="L12" s="69"/>
      <c r="M12" s="71">
        <v>150000</v>
      </c>
      <c r="N12" s="71">
        <f t="shared" si="3"/>
        <v>600000</v>
      </c>
      <c r="O12" s="94">
        <v>631566.09</v>
      </c>
      <c r="P12" s="71">
        <f t="shared" si="4"/>
        <v>-31566.089999999967</v>
      </c>
      <c r="Q12" s="72">
        <f t="shared" si="2"/>
        <v>105.261015</v>
      </c>
    </row>
    <row r="13" spans="1:17" s="4" customFormat="1" ht="30.75" customHeight="1" x14ac:dyDescent="0.25">
      <c r="A13" s="84" t="s">
        <v>139</v>
      </c>
      <c r="B13" s="279" t="s">
        <v>11</v>
      </c>
      <c r="C13" s="279"/>
      <c r="D13" s="280" t="s">
        <v>15</v>
      </c>
      <c r="E13" s="280"/>
      <c r="F13" s="85" t="s">
        <v>136</v>
      </c>
      <c r="G13" s="3">
        <v>50000</v>
      </c>
      <c r="H13" s="80" t="s">
        <v>37</v>
      </c>
      <c r="I13" s="3">
        <v>50000</v>
      </c>
      <c r="J13" s="50" t="s">
        <v>64</v>
      </c>
      <c r="K13" s="3">
        <v>50000</v>
      </c>
      <c r="L13" s="69"/>
      <c r="M13" s="71"/>
      <c r="N13" s="71">
        <f t="shared" si="3"/>
        <v>50000</v>
      </c>
      <c r="O13" s="94">
        <v>49764</v>
      </c>
      <c r="P13" s="71">
        <f t="shared" si="4"/>
        <v>236</v>
      </c>
      <c r="Q13" s="72">
        <f t="shared" si="2"/>
        <v>99.528000000000006</v>
      </c>
    </row>
    <row r="14" spans="1:17" s="4" customFormat="1" ht="30.75" customHeight="1" x14ac:dyDescent="0.25">
      <c r="A14" s="84" t="s">
        <v>139</v>
      </c>
      <c r="B14" s="279" t="s">
        <v>11</v>
      </c>
      <c r="C14" s="279"/>
      <c r="D14" s="280" t="s">
        <v>16</v>
      </c>
      <c r="E14" s="280"/>
      <c r="F14" s="85" t="s">
        <v>136</v>
      </c>
      <c r="G14" s="3">
        <v>838000</v>
      </c>
      <c r="H14" s="80" t="s">
        <v>34</v>
      </c>
      <c r="I14" s="3">
        <v>838000</v>
      </c>
      <c r="J14" s="50" t="s">
        <v>63</v>
      </c>
      <c r="K14" s="3">
        <v>838000</v>
      </c>
      <c r="L14" s="69"/>
      <c r="M14" s="71">
        <f>320000+150000</f>
        <v>470000</v>
      </c>
      <c r="N14" s="71">
        <f t="shared" si="3"/>
        <v>1308000</v>
      </c>
      <c r="O14" s="94">
        <v>1101364.08</v>
      </c>
      <c r="P14" s="71">
        <f t="shared" si="4"/>
        <v>206635.91999999993</v>
      </c>
      <c r="Q14" s="72">
        <f t="shared" si="2"/>
        <v>84.202146788990831</v>
      </c>
    </row>
    <row r="15" spans="1:17" s="4" customFormat="1" ht="30.75" customHeight="1" x14ac:dyDescent="0.25">
      <c r="A15" s="84" t="s">
        <v>139</v>
      </c>
      <c r="B15" s="279" t="s">
        <v>11</v>
      </c>
      <c r="C15" s="279"/>
      <c r="D15" s="280" t="s">
        <v>142</v>
      </c>
      <c r="E15" s="280"/>
      <c r="F15" s="85" t="s">
        <v>136</v>
      </c>
      <c r="G15" s="3">
        <v>152000</v>
      </c>
      <c r="H15" s="80" t="s">
        <v>38</v>
      </c>
      <c r="I15" s="3">
        <v>62000</v>
      </c>
      <c r="J15" s="50" t="s">
        <v>63</v>
      </c>
      <c r="K15" s="3">
        <v>62000</v>
      </c>
      <c r="L15" s="69"/>
      <c r="M15" s="71">
        <v>140000</v>
      </c>
      <c r="N15" s="71">
        <f t="shared" si="3"/>
        <v>202000</v>
      </c>
      <c r="O15" s="94">
        <f>72804.97+191750</f>
        <v>264554.96999999997</v>
      </c>
      <c r="P15" s="71">
        <f t="shared" si="4"/>
        <v>-62554.969999999972</v>
      </c>
      <c r="Q15" s="72">
        <f t="shared" si="2"/>
        <v>130.96780693069306</v>
      </c>
    </row>
    <row r="16" spans="1:17" s="4" customFormat="1" ht="30.75" customHeight="1" x14ac:dyDescent="0.25">
      <c r="A16" s="84" t="s">
        <v>139</v>
      </c>
      <c r="B16" s="279" t="s">
        <v>11</v>
      </c>
      <c r="C16" s="279"/>
      <c r="D16" s="280" t="s">
        <v>18</v>
      </c>
      <c r="E16" s="280"/>
      <c r="F16" s="85" t="s">
        <v>136</v>
      </c>
      <c r="G16" s="3">
        <v>100000</v>
      </c>
      <c r="H16" s="80" t="s">
        <v>40</v>
      </c>
      <c r="I16" s="3">
        <v>100000</v>
      </c>
      <c r="J16" s="50" t="s">
        <v>66</v>
      </c>
      <c r="K16" s="3">
        <v>100000</v>
      </c>
      <c r="L16" s="69"/>
      <c r="M16" s="71"/>
      <c r="N16" s="71">
        <f t="shared" si="3"/>
        <v>100000</v>
      </c>
      <c r="O16" s="94">
        <v>74191.990000000005</v>
      </c>
      <c r="P16" s="71">
        <f t="shared" si="4"/>
        <v>25808.009999999995</v>
      </c>
      <c r="Q16" s="72">
        <f t="shared" si="2"/>
        <v>74.191990000000004</v>
      </c>
    </row>
    <row r="17" spans="1:17" s="4" customFormat="1" ht="30.75" customHeight="1" x14ac:dyDescent="0.25">
      <c r="A17" s="84" t="s">
        <v>139</v>
      </c>
      <c r="B17" s="279" t="s">
        <v>11</v>
      </c>
      <c r="C17" s="279"/>
      <c r="D17" s="280" t="s">
        <v>19</v>
      </c>
      <c r="E17" s="280"/>
      <c r="F17" s="85" t="s">
        <v>136</v>
      </c>
      <c r="G17" s="3">
        <v>200000</v>
      </c>
      <c r="H17" s="80" t="s">
        <v>41</v>
      </c>
      <c r="I17" s="3">
        <v>200000</v>
      </c>
      <c r="J17" s="50" t="s">
        <v>66</v>
      </c>
      <c r="K17" s="3">
        <v>200000</v>
      </c>
      <c r="L17" s="69"/>
      <c r="M17" s="71"/>
      <c r="N17" s="71">
        <f t="shared" si="3"/>
        <v>200000</v>
      </c>
      <c r="O17" s="94">
        <v>220247.26</v>
      </c>
      <c r="P17" s="71">
        <f t="shared" si="4"/>
        <v>-20247.260000000009</v>
      </c>
      <c r="Q17" s="72">
        <f t="shared" si="2"/>
        <v>110.12363000000001</v>
      </c>
    </row>
    <row r="18" spans="1:17" ht="30.75" customHeight="1" x14ac:dyDescent="0.25">
      <c r="A18" s="84" t="s">
        <v>139</v>
      </c>
      <c r="B18" s="279" t="s">
        <v>11</v>
      </c>
      <c r="C18" s="279"/>
      <c r="D18" s="280" t="s">
        <v>20</v>
      </c>
      <c r="E18" s="280"/>
      <c r="F18" s="85" t="s">
        <v>136</v>
      </c>
      <c r="G18" s="3">
        <v>1103000</v>
      </c>
      <c r="H18" s="80" t="s">
        <v>42</v>
      </c>
      <c r="I18" s="3">
        <v>2000000</v>
      </c>
      <c r="J18" s="50" t="s">
        <v>62</v>
      </c>
      <c r="K18" s="3">
        <v>2000000</v>
      </c>
      <c r="L18" s="70"/>
      <c r="M18" s="71">
        <v>4150000</v>
      </c>
      <c r="N18" s="71">
        <f t="shared" si="3"/>
        <v>6150000</v>
      </c>
      <c r="O18" s="94">
        <v>5619402.8799999999</v>
      </c>
      <c r="P18" s="71">
        <f t="shared" si="4"/>
        <v>530597.12000000011</v>
      </c>
      <c r="Q18" s="72">
        <f t="shared" si="2"/>
        <v>91.372404552845524</v>
      </c>
    </row>
    <row r="19" spans="1:17" ht="23.25" customHeight="1" x14ac:dyDescent="0.25">
      <c r="A19" s="285" t="s">
        <v>23</v>
      </c>
      <c r="B19" s="285"/>
      <c r="C19" s="285"/>
      <c r="D19" s="285"/>
      <c r="E19" s="285"/>
      <c r="F19" s="285"/>
      <c r="G19" s="285"/>
      <c r="H19" s="285"/>
      <c r="I19" s="53">
        <f>I20</f>
        <v>2200000</v>
      </c>
      <c r="J19" s="57"/>
      <c r="K19" s="53">
        <f>K20</f>
        <v>2200000</v>
      </c>
      <c r="L19" s="75">
        <f>L20</f>
        <v>0</v>
      </c>
      <c r="M19" s="76">
        <f t="shared" ref="M19" si="5">M20</f>
        <v>0</v>
      </c>
      <c r="N19" s="76">
        <f t="shared" si="3"/>
        <v>2200000</v>
      </c>
      <c r="O19" s="76">
        <f>O20</f>
        <v>1940527.54</v>
      </c>
      <c r="P19" s="76">
        <f t="shared" si="4"/>
        <v>259472.45999999996</v>
      </c>
      <c r="Q19" s="77">
        <f t="shared" si="2"/>
        <v>88.205797272727267</v>
      </c>
    </row>
    <row r="20" spans="1:17" ht="47.25" customHeight="1" x14ac:dyDescent="0.25">
      <c r="A20" s="80" t="s">
        <v>9</v>
      </c>
      <c r="B20" s="279" t="s">
        <v>10</v>
      </c>
      <c r="C20" s="279"/>
      <c r="D20" s="280" t="s">
        <v>141</v>
      </c>
      <c r="E20" s="280"/>
      <c r="F20" s="85" t="s">
        <v>140</v>
      </c>
      <c r="G20" s="5">
        <v>8500000</v>
      </c>
      <c r="H20" s="80" t="s">
        <v>43</v>
      </c>
      <c r="I20" s="3">
        <v>2200000</v>
      </c>
      <c r="J20" s="50" t="s">
        <v>143</v>
      </c>
      <c r="K20" s="3">
        <v>2200000</v>
      </c>
      <c r="L20" s="70"/>
      <c r="M20" s="71"/>
      <c r="N20" s="71">
        <f t="shared" si="3"/>
        <v>2200000</v>
      </c>
      <c r="O20" s="94">
        <v>1940527.54</v>
      </c>
      <c r="P20" s="71">
        <f t="shared" si="4"/>
        <v>259472.45999999996</v>
      </c>
      <c r="Q20" s="72">
        <f t="shared" si="2"/>
        <v>88.205797272727267</v>
      </c>
    </row>
    <row r="21" spans="1:17" ht="22.5" customHeight="1" x14ac:dyDescent="0.25">
      <c r="A21" s="285" t="s">
        <v>24</v>
      </c>
      <c r="B21" s="285"/>
      <c r="C21" s="285"/>
      <c r="D21" s="285"/>
      <c r="E21" s="285"/>
      <c r="F21" s="285"/>
      <c r="G21" s="285"/>
      <c r="H21" s="285"/>
      <c r="I21" s="53">
        <f>SUM(I22:I23)</f>
        <v>1500000</v>
      </c>
      <c r="J21" s="57"/>
      <c r="K21" s="53">
        <f>SUM(K22:K23)</f>
        <v>1500000</v>
      </c>
      <c r="L21" s="105">
        <f>L22+L23</f>
        <v>10000</v>
      </c>
      <c r="M21" s="104">
        <f t="shared" ref="M21" si="6">M22+M23</f>
        <v>120000</v>
      </c>
      <c r="N21" s="104">
        <f t="shared" si="3"/>
        <v>1610000</v>
      </c>
      <c r="O21" s="104">
        <f>O22+O23</f>
        <v>0</v>
      </c>
      <c r="P21" s="104">
        <f t="shared" si="4"/>
        <v>1610000</v>
      </c>
      <c r="Q21" s="73">
        <f t="shared" si="2"/>
        <v>0</v>
      </c>
    </row>
    <row r="22" spans="1:17" ht="30.75" customHeight="1" x14ac:dyDescent="0.25">
      <c r="A22" s="90" t="s">
        <v>57</v>
      </c>
      <c r="B22" s="279" t="s">
        <v>58</v>
      </c>
      <c r="C22" s="279"/>
      <c r="D22" s="280" t="s">
        <v>158</v>
      </c>
      <c r="E22" s="280"/>
      <c r="F22" s="91" t="s">
        <v>48</v>
      </c>
      <c r="G22" s="5">
        <v>5000000</v>
      </c>
      <c r="H22" s="80" t="s">
        <v>44</v>
      </c>
      <c r="I22" s="3">
        <v>1490000</v>
      </c>
      <c r="J22" s="50" t="s">
        <v>68</v>
      </c>
      <c r="K22" s="3">
        <v>1490000</v>
      </c>
      <c r="L22" s="70"/>
      <c r="M22" s="71">
        <v>120000</v>
      </c>
      <c r="N22" s="71">
        <f t="shared" si="3"/>
        <v>1610000</v>
      </c>
      <c r="O22" s="71">
        <v>0</v>
      </c>
      <c r="P22" s="71">
        <f t="shared" si="4"/>
        <v>1610000</v>
      </c>
      <c r="Q22" s="72">
        <f t="shared" si="2"/>
        <v>0</v>
      </c>
    </row>
    <row r="23" spans="1:17" ht="30.75" customHeight="1" x14ac:dyDescent="0.25">
      <c r="A23" s="90" t="s">
        <v>148</v>
      </c>
      <c r="B23" s="279" t="s">
        <v>149</v>
      </c>
      <c r="C23" s="279"/>
      <c r="D23" s="280" t="s">
        <v>60</v>
      </c>
      <c r="E23" s="280"/>
      <c r="F23" s="91" t="s">
        <v>136</v>
      </c>
      <c r="G23" s="5">
        <v>10000</v>
      </c>
      <c r="H23" s="80" t="s">
        <v>45</v>
      </c>
      <c r="I23" s="3">
        <v>10000</v>
      </c>
      <c r="J23" s="50" t="s">
        <v>68</v>
      </c>
      <c r="K23" s="3">
        <v>10000</v>
      </c>
      <c r="L23" s="70">
        <v>10000</v>
      </c>
      <c r="M23" s="71"/>
      <c r="N23" s="71">
        <f t="shared" si="3"/>
        <v>0</v>
      </c>
      <c r="O23" s="71">
        <v>0</v>
      </c>
      <c r="P23" s="71">
        <f t="shared" si="4"/>
        <v>0</v>
      </c>
      <c r="Q23" s="72" t="e">
        <f t="shared" si="2"/>
        <v>#DIV/0!</v>
      </c>
    </row>
    <row r="24" spans="1:17" s="96" customFormat="1" ht="30.75" customHeight="1" x14ac:dyDescent="0.25">
      <c r="A24" s="281" t="s">
        <v>131</v>
      </c>
      <c r="B24" s="282"/>
      <c r="C24" s="282"/>
      <c r="D24" s="282"/>
      <c r="E24" s="282"/>
      <c r="F24" s="282"/>
      <c r="G24" s="282"/>
      <c r="H24" s="282"/>
      <c r="I24" s="64">
        <f>I25</f>
        <v>2000</v>
      </c>
      <c r="J24" s="122"/>
      <c r="K24" s="64">
        <f>K25</f>
        <v>2000</v>
      </c>
      <c r="L24" s="105">
        <f>L25</f>
        <v>0</v>
      </c>
      <c r="M24" s="104">
        <f t="shared" ref="M24" si="7">M25</f>
        <v>53273000</v>
      </c>
      <c r="N24" s="104">
        <f t="shared" si="3"/>
        <v>53275000</v>
      </c>
      <c r="O24" s="104">
        <f>O25</f>
        <v>5403313.6200000001</v>
      </c>
      <c r="P24" s="104">
        <f t="shared" si="4"/>
        <v>47871686.380000003</v>
      </c>
      <c r="Q24" s="73">
        <f t="shared" si="2"/>
        <v>10.142306184889723</v>
      </c>
    </row>
    <row r="25" spans="1:17" ht="30.75" customHeight="1" x14ac:dyDescent="0.25">
      <c r="A25" s="61"/>
      <c r="B25" s="283"/>
      <c r="C25" s="283"/>
      <c r="D25" s="284" t="s">
        <v>21</v>
      </c>
      <c r="E25" s="284"/>
      <c r="F25" s="82" t="s">
        <v>47</v>
      </c>
      <c r="G25" s="62"/>
      <c r="H25" s="79" t="s">
        <v>132</v>
      </c>
      <c r="I25" s="63">
        <v>2000</v>
      </c>
      <c r="J25" s="50" t="s">
        <v>69</v>
      </c>
      <c r="K25" s="63">
        <v>2000</v>
      </c>
      <c r="L25" s="70"/>
      <c r="M25" s="71">
        <f>4853000+3420000+36000000+9000000</f>
        <v>53273000</v>
      </c>
      <c r="N25" s="71">
        <f t="shared" si="3"/>
        <v>53275000</v>
      </c>
      <c r="O25" s="94">
        <v>5403313.6200000001</v>
      </c>
      <c r="P25" s="71">
        <f t="shared" si="4"/>
        <v>47871686.380000003</v>
      </c>
      <c r="Q25" s="72">
        <f t="shared" si="2"/>
        <v>10.142306184889723</v>
      </c>
    </row>
    <row r="26" spans="1:17" ht="25.5" customHeight="1" x14ac:dyDescent="0.25">
      <c r="A26" s="65"/>
      <c r="B26" s="278"/>
      <c r="C26" s="278"/>
      <c r="D26" s="278"/>
      <c r="E26" s="278"/>
      <c r="F26" s="78"/>
      <c r="G26" s="66"/>
      <c r="H26" s="54" t="s">
        <v>46</v>
      </c>
      <c r="I26" s="55">
        <f>I21+I19+I5+I24</f>
        <v>18700000</v>
      </c>
      <c r="J26" s="55"/>
      <c r="K26" s="55">
        <f t="shared" ref="K26:P26" si="8">K21+K19+K5+K24</f>
        <v>18700000</v>
      </c>
      <c r="L26" s="55">
        <f t="shared" si="8"/>
        <v>230000</v>
      </c>
      <c r="M26" s="55">
        <f t="shared" si="8"/>
        <v>58623000</v>
      </c>
      <c r="N26" s="55">
        <f t="shared" si="8"/>
        <v>77093000</v>
      </c>
      <c r="O26" s="55">
        <f>O21+O19+O5+O24</f>
        <v>23324691.840000004</v>
      </c>
      <c r="P26" s="55">
        <f t="shared" si="8"/>
        <v>53768308.160000004</v>
      </c>
      <c r="Q26" s="73">
        <f t="shared" si="2"/>
        <v>30.255265510487341</v>
      </c>
    </row>
    <row r="27" spans="1:17" x14ac:dyDescent="0.25">
      <c r="A27" s="286" t="s">
        <v>151</v>
      </c>
      <c r="B27" s="286"/>
      <c r="C27" s="286"/>
      <c r="D27" s="286"/>
      <c r="E27" s="286"/>
      <c r="F27" s="286"/>
      <c r="G27" s="286"/>
      <c r="H27" s="286"/>
      <c r="I27" s="286"/>
      <c r="J27" s="286"/>
    </row>
    <row r="28" spans="1:17" x14ac:dyDescent="0.25">
      <c r="A28" s="286" t="s">
        <v>152</v>
      </c>
      <c r="B28" s="286"/>
      <c r="C28" s="286"/>
      <c r="D28" s="286"/>
      <c r="E28" s="286"/>
      <c r="F28" s="286"/>
      <c r="G28" s="286"/>
      <c r="H28" s="286"/>
      <c r="I28" s="286"/>
      <c r="J28" s="286"/>
      <c r="O28" s="97"/>
    </row>
    <row r="29" spans="1:17" x14ac:dyDescent="0.25">
      <c r="A29" s="286" t="s">
        <v>153</v>
      </c>
      <c r="B29" s="286"/>
      <c r="C29" s="286"/>
      <c r="D29" s="286"/>
      <c r="E29" s="286"/>
      <c r="F29" s="286"/>
      <c r="G29" s="286"/>
      <c r="H29" s="286"/>
      <c r="I29" s="286"/>
      <c r="J29" s="286"/>
    </row>
    <row r="30" spans="1:17" x14ac:dyDescent="0.25">
      <c r="G30" s="97"/>
    </row>
  </sheetData>
  <mergeCells count="46">
    <mergeCell ref="A27:J27"/>
    <mergeCell ref="A28:J28"/>
    <mergeCell ref="A29:J29"/>
    <mergeCell ref="A2:Q2"/>
    <mergeCell ref="B4:C4"/>
    <mergeCell ref="D4:E4"/>
    <mergeCell ref="A5:H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A21:H21"/>
    <mergeCell ref="B15:C15"/>
    <mergeCell ref="D15:E15"/>
    <mergeCell ref="B16:C16"/>
    <mergeCell ref="D16:E16"/>
    <mergeCell ref="B17:C17"/>
    <mergeCell ref="D17:E17"/>
    <mergeCell ref="B18:C18"/>
    <mergeCell ref="D18:E18"/>
    <mergeCell ref="A19:H19"/>
    <mergeCell ref="B20:C20"/>
    <mergeCell ref="D20:E20"/>
    <mergeCell ref="B26:C26"/>
    <mergeCell ref="D26:E26"/>
    <mergeCell ref="B22:C22"/>
    <mergeCell ref="D22:E22"/>
    <mergeCell ref="B23:C23"/>
    <mergeCell ref="D23:E23"/>
    <mergeCell ref="A24:H24"/>
    <mergeCell ref="B25:C25"/>
    <mergeCell ref="D25:E25"/>
  </mergeCells>
  <pageMargins left="0.51181102362204722" right="0.31496062992125984" top="0.35433070866141736" bottom="0.35433070866141736" header="0.31496062992125984" footer="0.31496062992125984"/>
  <pageSetup paperSize="9" scale="53"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Q34"/>
  <sheetViews>
    <sheetView zoomScale="60" zoomScaleNormal="60" workbookViewId="0">
      <selection activeCell="J14" sqref="J14"/>
    </sheetView>
  </sheetViews>
  <sheetFormatPr defaultColWidth="9.140625" defaultRowHeight="15" x14ac:dyDescent="0.25"/>
  <cols>
    <col min="1" max="1" width="15.140625" style="1" customWidth="1"/>
    <col min="2" max="2" width="9.140625" style="1"/>
    <col min="3" max="3" width="16.7109375" style="1" customWidth="1"/>
    <col min="4" max="4" width="9.140625" style="1"/>
    <col min="5" max="5" width="16.7109375" style="1" customWidth="1"/>
    <col min="6" max="7" width="14" style="1" customWidth="1"/>
    <col min="8" max="8" width="34.7109375" style="1" customWidth="1"/>
    <col min="9" max="9" width="14.7109375" style="1" customWidth="1"/>
    <col min="10" max="10" width="28.42578125" style="6" customWidth="1"/>
    <col min="11" max="11" width="13.5703125" style="1" bestFit="1" customWidth="1"/>
    <col min="12" max="12" width="14.140625" style="1" bestFit="1" customWidth="1"/>
    <col min="13" max="13" width="14.5703125" style="1" customWidth="1"/>
    <col min="14" max="14" width="15" style="1" bestFit="1" customWidth="1"/>
    <col min="15" max="15" width="14.140625" style="1" customWidth="1"/>
    <col min="16" max="16" width="15.42578125" style="1" customWidth="1"/>
    <col min="17" max="17" width="13.28515625" style="1" customWidth="1"/>
    <col min="18" max="16384" width="9.140625" style="1"/>
  </cols>
  <sheetData>
    <row r="8" spans="1:17" ht="20.25" customHeight="1" x14ac:dyDescent="0.25">
      <c r="A8" s="287" t="s">
        <v>190</v>
      </c>
      <c r="B8" s="287"/>
      <c r="C8" s="287"/>
      <c r="D8" s="287"/>
      <c r="E8" s="287"/>
      <c r="F8" s="287"/>
      <c r="G8" s="287"/>
      <c r="H8" s="287"/>
      <c r="I8" s="287"/>
      <c r="J8" s="287"/>
      <c r="K8" s="287"/>
      <c r="L8" s="287"/>
      <c r="M8" s="287"/>
      <c r="N8" s="287"/>
      <c r="O8" s="287"/>
      <c r="P8" s="287"/>
      <c r="Q8" s="287"/>
    </row>
    <row r="10" spans="1:17" ht="44.25" customHeight="1" x14ac:dyDescent="0.25">
      <c r="A10" s="159" t="s">
        <v>0</v>
      </c>
      <c r="B10" s="288" t="s">
        <v>1</v>
      </c>
      <c r="C10" s="288"/>
      <c r="D10" s="288" t="s">
        <v>2</v>
      </c>
      <c r="E10" s="288"/>
      <c r="F10" s="159" t="s">
        <v>27</v>
      </c>
      <c r="G10" s="159" t="s">
        <v>52</v>
      </c>
      <c r="H10" s="159" t="s">
        <v>28</v>
      </c>
      <c r="I10" s="159" t="s">
        <v>168</v>
      </c>
      <c r="J10" s="159" t="s">
        <v>25</v>
      </c>
      <c r="K10" s="68" t="s">
        <v>108</v>
      </c>
      <c r="L10" s="68" t="s">
        <v>109</v>
      </c>
      <c r="M10" s="68" t="s">
        <v>110</v>
      </c>
      <c r="N10" s="68" t="s">
        <v>111</v>
      </c>
      <c r="O10" s="68" t="s">
        <v>189</v>
      </c>
      <c r="P10" s="68" t="s">
        <v>113</v>
      </c>
      <c r="Q10" s="68" t="s">
        <v>114</v>
      </c>
    </row>
    <row r="11" spans="1:17" ht="18.75" customHeight="1" x14ac:dyDescent="0.25">
      <c r="A11" s="289" t="s">
        <v>22</v>
      </c>
      <c r="B11" s="289"/>
      <c r="C11" s="289"/>
      <c r="D11" s="289"/>
      <c r="E11" s="289"/>
      <c r="F11" s="289"/>
      <c r="G11" s="289"/>
      <c r="H11" s="289"/>
      <c r="I11" s="52">
        <f>SUM(I12:I22)</f>
        <v>17998000</v>
      </c>
      <c r="J11" s="58"/>
      <c r="K11" s="52">
        <f t="shared" ref="K11:P11" si="0">SUM(K12:K22)</f>
        <v>17998000</v>
      </c>
      <c r="L11" s="161">
        <f>SUM(L12:L22)</f>
        <v>0</v>
      </c>
      <c r="M11" s="76">
        <f t="shared" si="0"/>
        <v>1440000</v>
      </c>
      <c r="N11" s="76">
        <f t="shared" si="0"/>
        <v>19438000</v>
      </c>
      <c r="O11" s="76">
        <f t="shared" si="0"/>
        <v>3664602.6</v>
      </c>
      <c r="P11" s="76">
        <f t="shared" si="0"/>
        <v>15773397.4</v>
      </c>
      <c r="Q11" s="73">
        <f t="shared" ref="Q11:Q30" si="1">(O11*100)/N11</f>
        <v>18.85277600576191</v>
      </c>
    </row>
    <row r="12" spans="1:17" s="4" customFormat="1" ht="30.75" customHeight="1" x14ac:dyDescent="0.25">
      <c r="A12" s="155" t="s">
        <v>164</v>
      </c>
      <c r="B12" s="279" t="s">
        <v>180</v>
      </c>
      <c r="C12" s="279"/>
      <c r="D12" s="280" t="s">
        <v>12</v>
      </c>
      <c r="E12" s="280"/>
      <c r="F12" s="156" t="s">
        <v>165</v>
      </c>
      <c r="G12" s="5">
        <v>300000</v>
      </c>
      <c r="H12" s="155" t="s">
        <v>29</v>
      </c>
      <c r="I12" s="3">
        <v>300000</v>
      </c>
      <c r="J12" s="50" t="s">
        <v>62</v>
      </c>
      <c r="K12" s="3">
        <v>300000</v>
      </c>
      <c r="L12" s="69"/>
      <c r="M12" s="71"/>
      <c r="N12" s="71">
        <f t="shared" ref="N12:N29" si="2">I12-L12+M12</f>
        <v>300000</v>
      </c>
      <c r="O12" s="71">
        <v>53690</v>
      </c>
      <c r="P12" s="71">
        <f t="shared" ref="P12:P29" si="3">N12-O12</f>
        <v>246310</v>
      </c>
      <c r="Q12" s="72">
        <f t="shared" si="1"/>
        <v>17.896666666666668</v>
      </c>
    </row>
    <row r="13" spans="1:17" s="4" customFormat="1" ht="30.75" customHeight="1" x14ac:dyDescent="0.25">
      <c r="A13" s="155" t="s">
        <v>4</v>
      </c>
      <c r="B13" s="279" t="s">
        <v>181</v>
      </c>
      <c r="C13" s="279"/>
      <c r="D13" s="280" t="s">
        <v>167</v>
      </c>
      <c r="E13" s="280"/>
      <c r="F13" s="156" t="s">
        <v>166</v>
      </c>
      <c r="G13" s="5">
        <v>10000000</v>
      </c>
      <c r="H13" s="155" t="s">
        <v>30</v>
      </c>
      <c r="I13" s="3">
        <v>1000000</v>
      </c>
      <c r="J13" s="50" t="s">
        <v>62</v>
      </c>
      <c r="K13" s="3">
        <v>1000000</v>
      </c>
      <c r="L13" s="69"/>
      <c r="M13" s="71">
        <v>1000000</v>
      </c>
      <c r="N13" s="71">
        <f t="shared" si="2"/>
        <v>2000000</v>
      </c>
      <c r="O13" s="71">
        <v>50209.31</v>
      </c>
      <c r="P13" s="71">
        <f t="shared" si="3"/>
        <v>1949790.69</v>
      </c>
      <c r="Q13" s="72">
        <f t="shared" si="1"/>
        <v>2.5104655</v>
      </c>
    </row>
    <row r="14" spans="1:17" s="4" customFormat="1" ht="114" customHeight="1" x14ac:dyDescent="0.25">
      <c r="A14" s="155" t="s">
        <v>7</v>
      </c>
      <c r="B14" s="279" t="s">
        <v>182</v>
      </c>
      <c r="C14" s="279"/>
      <c r="D14" s="280" t="s">
        <v>177</v>
      </c>
      <c r="E14" s="280"/>
      <c r="F14" s="156" t="s">
        <v>166</v>
      </c>
      <c r="G14" s="5">
        <v>54600000</v>
      </c>
      <c r="H14" s="155" t="s">
        <v>31</v>
      </c>
      <c r="I14" s="3">
        <v>12198000</v>
      </c>
      <c r="J14" s="50" t="s">
        <v>62</v>
      </c>
      <c r="K14" s="3">
        <v>12198000</v>
      </c>
      <c r="L14" s="69"/>
      <c r="M14" s="71"/>
      <c r="N14" s="71">
        <f t="shared" si="2"/>
        <v>12198000</v>
      </c>
      <c r="O14" s="71">
        <v>1677407.15</v>
      </c>
      <c r="P14" s="71">
        <f t="shared" si="3"/>
        <v>10520592.85</v>
      </c>
      <c r="Q14" s="72">
        <f t="shared" si="1"/>
        <v>13.751493277586489</v>
      </c>
    </row>
    <row r="15" spans="1:17" s="4" customFormat="1" ht="30.75" customHeight="1" x14ac:dyDescent="0.25">
      <c r="A15" s="155" t="s">
        <v>169</v>
      </c>
      <c r="B15" s="279" t="s">
        <v>183</v>
      </c>
      <c r="C15" s="279"/>
      <c r="D15" s="280" t="s">
        <v>13</v>
      </c>
      <c r="E15" s="280"/>
      <c r="F15" s="156" t="s">
        <v>170</v>
      </c>
      <c r="G15" s="307">
        <v>4500000</v>
      </c>
      <c r="H15" s="155" t="s">
        <v>32</v>
      </c>
      <c r="I15" s="3">
        <v>250000</v>
      </c>
      <c r="J15" s="50" t="s">
        <v>63</v>
      </c>
      <c r="K15" s="3">
        <v>250000</v>
      </c>
      <c r="L15" s="69"/>
      <c r="M15" s="71">
        <v>150000</v>
      </c>
      <c r="N15" s="71">
        <f t="shared" si="2"/>
        <v>400000</v>
      </c>
      <c r="O15" s="71">
        <v>153419.10999999999</v>
      </c>
      <c r="P15" s="71">
        <f t="shared" si="3"/>
        <v>246580.89</v>
      </c>
      <c r="Q15" s="72">
        <f t="shared" si="1"/>
        <v>38.354777499999997</v>
      </c>
    </row>
    <row r="16" spans="1:17" s="4" customFormat="1" ht="30.75" customHeight="1" x14ac:dyDescent="0.25">
      <c r="A16" s="155" t="s">
        <v>169</v>
      </c>
      <c r="B16" s="279" t="s">
        <v>183</v>
      </c>
      <c r="C16" s="279"/>
      <c r="D16" s="280" t="s">
        <v>35</v>
      </c>
      <c r="E16" s="280"/>
      <c r="F16" s="156" t="s">
        <v>170</v>
      </c>
      <c r="G16" s="308"/>
      <c r="H16" s="155" t="s">
        <v>36</v>
      </c>
      <c r="I16" s="3">
        <v>200000</v>
      </c>
      <c r="J16" s="50" t="s">
        <v>63</v>
      </c>
      <c r="K16" s="3">
        <v>200000</v>
      </c>
      <c r="L16" s="69"/>
      <c r="M16" s="71"/>
      <c r="N16" s="71">
        <f t="shared" si="2"/>
        <v>200000</v>
      </c>
      <c r="O16" s="71">
        <v>106265.35</v>
      </c>
      <c r="P16" s="71">
        <f t="shared" si="3"/>
        <v>93734.65</v>
      </c>
      <c r="Q16" s="72">
        <f t="shared" si="1"/>
        <v>53.132674999999999</v>
      </c>
    </row>
    <row r="17" spans="1:17" s="4" customFormat="1" ht="30.75" customHeight="1" x14ac:dyDescent="0.25">
      <c r="A17" s="155" t="s">
        <v>169</v>
      </c>
      <c r="B17" s="279" t="s">
        <v>183</v>
      </c>
      <c r="C17" s="279"/>
      <c r="D17" s="280" t="s">
        <v>14</v>
      </c>
      <c r="E17" s="280"/>
      <c r="F17" s="156" t="s">
        <v>170</v>
      </c>
      <c r="G17" s="308"/>
      <c r="H17" s="155" t="s">
        <v>33</v>
      </c>
      <c r="I17" s="3">
        <v>500000</v>
      </c>
      <c r="J17" s="50" t="s">
        <v>64</v>
      </c>
      <c r="K17" s="3">
        <v>500000</v>
      </c>
      <c r="L17" s="69"/>
      <c r="M17" s="71">
        <v>250000</v>
      </c>
      <c r="N17" s="71">
        <f t="shared" si="2"/>
        <v>750000</v>
      </c>
      <c r="O17" s="71">
        <v>64933.04</v>
      </c>
      <c r="P17" s="71">
        <f t="shared" si="3"/>
        <v>685066.96</v>
      </c>
      <c r="Q17" s="72">
        <f t="shared" si="1"/>
        <v>8.6577386666666669</v>
      </c>
    </row>
    <row r="18" spans="1:17" s="4" customFormat="1" ht="30.75" customHeight="1" x14ac:dyDescent="0.25">
      <c r="A18" s="155" t="s">
        <v>169</v>
      </c>
      <c r="B18" s="279" t="s">
        <v>183</v>
      </c>
      <c r="C18" s="279"/>
      <c r="D18" s="280" t="s">
        <v>15</v>
      </c>
      <c r="E18" s="280"/>
      <c r="F18" s="156" t="s">
        <v>170</v>
      </c>
      <c r="G18" s="308"/>
      <c r="H18" s="155" t="s">
        <v>37</v>
      </c>
      <c r="I18" s="3">
        <v>50000</v>
      </c>
      <c r="J18" s="50" t="s">
        <v>64</v>
      </c>
      <c r="K18" s="3">
        <v>50000</v>
      </c>
      <c r="L18" s="69"/>
      <c r="M18" s="71"/>
      <c r="N18" s="71">
        <f t="shared" si="2"/>
        <v>50000</v>
      </c>
      <c r="O18" s="71">
        <v>13543.45</v>
      </c>
      <c r="P18" s="71">
        <f t="shared" si="3"/>
        <v>36456.550000000003</v>
      </c>
      <c r="Q18" s="72">
        <f t="shared" si="1"/>
        <v>27.0869</v>
      </c>
    </row>
    <row r="19" spans="1:17" s="4" customFormat="1" ht="54" customHeight="1" x14ac:dyDescent="0.25">
      <c r="A19" s="155" t="s">
        <v>169</v>
      </c>
      <c r="B19" s="279" t="s">
        <v>183</v>
      </c>
      <c r="C19" s="279"/>
      <c r="D19" s="280" t="s">
        <v>16</v>
      </c>
      <c r="E19" s="280"/>
      <c r="F19" s="156" t="s">
        <v>170</v>
      </c>
      <c r="G19" s="308"/>
      <c r="H19" s="155" t="s">
        <v>34</v>
      </c>
      <c r="I19" s="3">
        <v>1000000</v>
      </c>
      <c r="J19" s="50" t="s">
        <v>179</v>
      </c>
      <c r="K19" s="3">
        <v>1000000</v>
      </c>
      <c r="L19" s="69"/>
      <c r="M19" s="71"/>
      <c r="N19" s="71">
        <f t="shared" si="2"/>
        <v>1000000</v>
      </c>
      <c r="O19" s="71">
        <v>4137.01</v>
      </c>
      <c r="P19" s="71">
        <f t="shared" si="3"/>
        <v>995862.99</v>
      </c>
      <c r="Q19" s="72">
        <f t="shared" si="1"/>
        <v>0.41370099999999999</v>
      </c>
    </row>
    <row r="20" spans="1:17" s="4" customFormat="1" ht="30.75" customHeight="1" x14ac:dyDescent="0.25">
      <c r="A20" s="155" t="s">
        <v>169</v>
      </c>
      <c r="B20" s="279" t="s">
        <v>183</v>
      </c>
      <c r="C20" s="279"/>
      <c r="D20" s="280" t="s">
        <v>18</v>
      </c>
      <c r="E20" s="280"/>
      <c r="F20" s="156" t="s">
        <v>170</v>
      </c>
      <c r="G20" s="308"/>
      <c r="H20" s="155" t="s">
        <v>40</v>
      </c>
      <c r="I20" s="3">
        <v>200000</v>
      </c>
      <c r="J20" s="50" t="s">
        <v>66</v>
      </c>
      <c r="K20" s="3">
        <v>200000</v>
      </c>
      <c r="L20" s="69"/>
      <c r="M20" s="71">
        <v>40000</v>
      </c>
      <c r="N20" s="71">
        <f t="shared" si="2"/>
        <v>240000</v>
      </c>
      <c r="O20" s="71">
        <v>0</v>
      </c>
      <c r="P20" s="71">
        <f t="shared" si="3"/>
        <v>240000</v>
      </c>
      <c r="Q20" s="72">
        <f t="shared" si="1"/>
        <v>0</v>
      </c>
    </row>
    <row r="21" spans="1:17" s="4" customFormat="1" ht="30.75" customHeight="1" x14ac:dyDescent="0.25">
      <c r="A21" s="155" t="s">
        <v>169</v>
      </c>
      <c r="B21" s="279" t="s">
        <v>183</v>
      </c>
      <c r="C21" s="279"/>
      <c r="D21" s="280" t="s">
        <v>19</v>
      </c>
      <c r="E21" s="280"/>
      <c r="F21" s="156" t="s">
        <v>170</v>
      </c>
      <c r="G21" s="308"/>
      <c r="H21" s="155" t="s">
        <v>41</v>
      </c>
      <c r="I21" s="3">
        <v>300000</v>
      </c>
      <c r="J21" s="50" t="s">
        <v>66</v>
      </c>
      <c r="K21" s="3">
        <v>300000</v>
      </c>
      <c r="L21" s="69"/>
      <c r="M21" s="71"/>
      <c r="N21" s="71">
        <f t="shared" si="2"/>
        <v>300000</v>
      </c>
      <c r="O21" s="71">
        <v>294270.59999999998</v>
      </c>
      <c r="P21" s="71">
        <f t="shared" si="3"/>
        <v>5729.4000000000233</v>
      </c>
      <c r="Q21" s="72">
        <f t="shared" si="1"/>
        <v>98.090199999999982</v>
      </c>
    </row>
    <row r="22" spans="1:17" ht="30.75" customHeight="1" x14ac:dyDescent="0.25">
      <c r="A22" s="155" t="s">
        <v>169</v>
      </c>
      <c r="B22" s="279" t="s">
        <v>183</v>
      </c>
      <c r="C22" s="279"/>
      <c r="D22" s="280" t="s">
        <v>20</v>
      </c>
      <c r="E22" s="280"/>
      <c r="F22" s="156" t="s">
        <v>170</v>
      </c>
      <c r="G22" s="309"/>
      <c r="H22" s="155" t="s">
        <v>42</v>
      </c>
      <c r="I22" s="3">
        <v>2000000</v>
      </c>
      <c r="J22" s="50" t="s">
        <v>62</v>
      </c>
      <c r="K22" s="3">
        <v>2000000</v>
      </c>
      <c r="L22" s="70"/>
      <c r="M22" s="71"/>
      <c r="N22" s="71">
        <f t="shared" si="2"/>
        <v>2000000</v>
      </c>
      <c r="O22" s="71">
        <v>1246727.58</v>
      </c>
      <c r="P22" s="71">
        <f t="shared" si="3"/>
        <v>753272.41999999993</v>
      </c>
      <c r="Q22" s="72">
        <f t="shared" si="1"/>
        <v>62.336379000000001</v>
      </c>
    </row>
    <row r="23" spans="1:17" ht="23.25" customHeight="1" x14ac:dyDescent="0.25">
      <c r="A23" s="285" t="s">
        <v>23</v>
      </c>
      <c r="B23" s="285"/>
      <c r="C23" s="285"/>
      <c r="D23" s="285"/>
      <c r="E23" s="285"/>
      <c r="F23" s="285"/>
      <c r="G23" s="285"/>
      <c r="H23" s="285"/>
      <c r="I23" s="53">
        <f>I24</f>
        <v>2000000</v>
      </c>
      <c r="J23" s="57"/>
      <c r="K23" s="53">
        <f>K24</f>
        <v>2000000</v>
      </c>
      <c r="L23" s="55">
        <f>L24</f>
        <v>1000000</v>
      </c>
      <c r="M23" s="76">
        <f>M24</f>
        <v>0</v>
      </c>
      <c r="N23" s="76">
        <f t="shared" si="2"/>
        <v>1000000</v>
      </c>
      <c r="O23" s="76">
        <f>O24</f>
        <v>0</v>
      </c>
      <c r="P23" s="76">
        <f t="shared" si="3"/>
        <v>1000000</v>
      </c>
      <c r="Q23" s="77">
        <f t="shared" si="1"/>
        <v>0</v>
      </c>
    </row>
    <row r="24" spans="1:17" ht="49.5" customHeight="1" x14ac:dyDescent="0.25">
      <c r="A24" s="155" t="s">
        <v>9</v>
      </c>
      <c r="B24" s="279" t="s">
        <v>184</v>
      </c>
      <c r="C24" s="279"/>
      <c r="D24" s="280" t="s">
        <v>171</v>
      </c>
      <c r="E24" s="280"/>
      <c r="F24" s="156" t="s">
        <v>140</v>
      </c>
      <c r="G24" s="5">
        <v>8600000</v>
      </c>
      <c r="H24" s="155" t="s">
        <v>43</v>
      </c>
      <c r="I24" s="3">
        <v>2000000</v>
      </c>
      <c r="J24" s="50" t="s">
        <v>143</v>
      </c>
      <c r="K24" s="3">
        <v>2000000</v>
      </c>
      <c r="L24" s="71">
        <v>1000000</v>
      </c>
      <c r="M24" s="71"/>
      <c r="N24" s="71">
        <f t="shared" si="2"/>
        <v>1000000</v>
      </c>
      <c r="O24" s="71">
        <v>0</v>
      </c>
      <c r="P24" s="71">
        <f t="shared" si="3"/>
        <v>1000000</v>
      </c>
      <c r="Q24" s="72">
        <f t="shared" si="1"/>
        <v>0</v>
      </c>
    </row>
    <row r="25" spans="1:17" ht="22.5" customHeight="1" x14ac:dyDescent="0.25">
      <c r="A25" s="285" t="s">
        <v>24</v>
      </c>
      <c r="B25" s="285"/>
      <c r="C25" s="285"/>
      <c r="D25" s="285"/>
      <c r="E25" s="285"/>
      <c r="F25" s="285"/>
      <c r="G25" s="285"/>
      <c r="H25" s="285"/>
      <c r="I25" s="53">
        <f>SUM(I26:I27)</f>
        <v>3254000</v>
      </c>
      <c r="J25" s="57"/>
      <c r="K25" s="53">
        <f>SUM(K26:K27)</f>
        <v>3254000</v>
      </c>
      <c r="L25" s="75">
        <f>L26+L27</f>
        <v>0</v>
      </c>
      <c r="M25" s="76">
        <f>M26+M27</f>
        <v>0</v>
      </c>
      <c r="N25" s="76">
        <f t="shared" si="2"/>
        <v>3254000</v>
      </c>
      <c r="O25" s="76">
        <f>O26+O27</f>
        <v>0</v>
      </c>
      <c r="P25" s="76">
        <f t="shared" si="3"/>
        <v>3254000</v>
      </c>
      <c r="Q25" s="77">
        <f t="shared" si="1"/>
        <v>0</v>
      </c>
    </row>
    <row r="26" spans="1:17" ht="45.75" customHeight="1" x14ac:dyDescent="0.25">
      <c r="A26" s="155" t="s">
        <v>57</v>
      </c>
      <c r="B26" s="279" t="s">
        <v>161</v>
      </c>
      <c r="C26" s="279"/>
      <c r="D26" s="280" t="s">
        <v>172</v>
      </c>
      <c r="E26" s="280"/>
      <c r="F26" s="156" t="s">
        <v>48</v>
      </c>
      <c r="G26" s="5">
        <v>5601000</v>
      </c>
      <c r="H26" s="155" t="s">
        <v>44</v>
      </c>
      <c r="I26" s="3">
        <v>1754000</v>
      </c>
      <c r="J26" s="50" t="s">
        <v>178</v>
      </c>
      <c r="K26" s="3">
        <v>1754000</v>
      </c>
      <c r="L26" s="70"/>
      <c r="M26" s="71"/>
      <c r="N26" s="71">
        <f t="shared" si="2"/>
        <v>1754000</v>
      </c>
      <c r="O26" s="71">
        <v>0</v>
      </c>
      <c r="P26" s="71">
        <f t="shared" si="3"/>
        <v>1754000</v>
      </c>
      <c r="Q26" s="72">
        <f t="shared" si="1"/>
        <v>0</v>
      </c>
    </row>
    <row r="27" spans="1:17" ht="48" customHeight="1" x14ac:dyDescent="0.25">
      <c r="A27" s="155" t="s">
        <v>173</v>
      </c>
      <c r="B27" s="279" t="s">
        <v>175</v>
      </c>
      <c r="C27" s="279"/>
      <c r="D27" s="280" t="s">
        <v>176</v>
      </c>
      <c r="E27" s="280"/>
      <c r="F27" s="156" t="s">
        <v>165</v>
      </c>
      <c r="G27" s="5">
        <v>1500000</v>
      </c>
      <c r="H27" s="155" t="s">
        <v>174</v>
      </c>
      <c r="I27" s="3">
        <v>1500000</v>
      </c>
      <c r="J27" s="50" t="s">
        <v>68</v>
      </c>
      <c r="K27" s="3">
        <v>1500000</v>
      </c>
      <c r="L27" s="70"/>
      <c r="M27" s="71"/>
      <c r="N27" s="71">
        <f t="shared" si="2"/>
        <v>1500000</v>
      </c>
      <c r="O27" s="71">
        <v>0</v>
      </c>
      <c r="P27" s="71">
        <f t="shared" si="3"/>
        <v>1500000</v>
      </c>
      <c r="Q27" s="72">
        <f t="shared" si="1"/>
        <v>0</v>
      </c>
    </row>
    <row r="28" spans="1:17" ht="30.75" customHeight="1" x14ac:dyDescent="0.25">
      <c r="A28" s="281" t="s">
        <v>131</v>
      </c>
      <c r="B28" s="282"/>
      <c r="C28" s="282"/>
      <c r="D28" s="282"/>
      <c r="E28" s="282"/>
      <c r="F28" s="282"/>
      <c r="G28" s="282"/>
      <c r="H28" s="282"/>
      <c r="I28" s="64">
        <f>I29</f>
        <v>2000</v>
      </c>
      <c r="J28" s="57"/>
      <c r="K28" s="64">
        <f>K29</f>
        <v>2000</v>
      </c>
      <c r="L28" s="75">
        <f>L29</f>
        <v>0</v>
      </c>
      <c r="M28" s="76">
        <f>M29</f>
        <v>47869000</v>
      </c>
      <c r="N28" s="76">
        <f t="shared" si="2"/>
        <v>47871000</v>
      </c>
      <c r="O28" s="76">
        <f>O29</f>
        <v>438642.8</v>
      </c>
      <c r="P28" s="76">
        <f t="shared" si="3"/>
        <v>47432357.200000003</v>
      </c>
      <c r="Q28" s="77">
        <f t="shared" si="1"/>
        <v>0.9163017275594828</v>
      </c>
    </row>
    <row r="29" spans="1:17" ht="30.75" customHeight="1" x14ac:dyDescent="0.25">
      <c r="A29" s="61"/>
      <c r="B29" s="283"/>
      <c r="C29" s="283"/>
      <c r="D29" s="284" t="s">
        <v>21</v>
      </c>
      <c r="E29" s="284"/>
      <c r="F29" s="158" t="s">
        <v>165</v>
      </c>
      <c r="G29" s="62"/>
      <c r="H29" s="157" t="s">
        <v>132</v>
      </c>
      <c r="I29" s="63">
        <v>2000</v>
      </c>
      <c r="J29" s="50" t="s">
        <v>162</v>
      </c>
      <c r="K29" s="63">
        <v>2000</v>
      </c>
      <c r="L29" s="70"/>
      <c r="M29" s="71">
        <f>439000+47430000</f>
        <v>47869000</v>
      </c>
      <c r="N29" s="71">
        <f t="shared" si="2"/>
        <v>47871000</v>
      </c>
      <c r="O29" s="71">
        <v>438642.8</v>
      </c>
      <c r="P29" s="71">
        <f t="shared" si="3"/>
        <v>47432357.200000003</v>
      </c>
      <c r="Q29" s="72">
        <f t="shared" si="1"/>
        <v>0.9163017275594828</v>
      </c>
    </row>
    <row r="30" spans="1:17" ht="25.5" customHeight="1" x14ac:dyDescent="0.25">
      <c r="A30" s="65"/>
      <c r="B30" s="278"/>
      <c r="C30" s="278"/>
      <c r="D30" s="278"/>
      <c r="E30" s="278"/>
      <c r="F30" s="154"/>
      <c r="G30" s="66"/>
      <c r="H30" s="160" t="s">
        <v>46</v>
      </c>
      <c r="I30" s="55">
        <f>I25+I23+I11+I28</f>
        <v>23254000</v>
      </c>
      <c r="J30" s="55"/>
      <c r="K30" s="55">
        <f t="shared" ref="K30:P30" si="4">K25+K23+K11+K28</f>
        <v>23254000</v>
      </c>
      <c r="L30" s="55">
        <f t="shared" si="4"/>
        <v>1000000</v>
      </c>
      <c r="M30" s="55">
        <f t="shared" si="4"/>
        <v>49309000</v>
      </c>
      <c r="N30" s="55">
        <f t="shared" si="4"/>
        <v>71563000</v>
      </c>
      <c r="O30" s="55">
        <f t="shared" si="4"/>
        <v>4103245.4</v>
      </c>
      <c r="P30" s="55">
        <f t="shared" si="4"/>
        <v>67459754.599999994</v>
      </c>
      <c r="Q30" s="77">
        <f t="shared" si="1"/>
        <v>5.7337526375361572</v>
      </c>
    </row>
    <row r="31" spans="1:17" x14ac:dyDescent="0.25">
      <c r="A31" s="286" t="s">
        <v>163</v>
      </c>
      <c r="B31" s="286"/>
      <c r="C31" s="286"/>
      <c r="D31" s="286"/>
      <c r="E31" s="286"/>
      <c r="F31" s="286"/>
      <c r="G31" s="286"/>
      <c r="H31" s="286"/>
      <c r="I31" s="286"/>
      <c r="J31" s="286"/>
    </row>
    <row r="34" spans="7:7" x14ac:dyDescent="0.25">
      <c r="G34" s="97"/>
    </row>
  </sheetData>
  <mergeCells count="41">
    <mergeCell ref="A8:Q8"/>
    <mergeCell ref="B10:C10"/>
    <mergeCell ref="D10:E10"/>
    <mergeCell ref="A11:H11"/>
    <mergeCell ref="B12:C12"/>
    <mergeCell ref="D12:E12"/>
    <mergeCell ref="B13:C13"/>
    <mergeCell ref="D13:E13"/>
    <mergeCell ref="B14:C14"/>
    <mergeCell ref="D14:E14"/>
    <mergeCell ref="B15:C15"/>
    <mergeCell ref="D15:E15"/>
    <mergeCell ref="A23:H23"/>
    <mergeCell ref="G15:G22"/>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A31:J31"/>
    <mergeCell ref="B24:C24"/>
    <mergeCell ref="D24:E24"/>
    <mergeCell ref="A25:H25"/>
    <mergeCell ref="B26:C26"/>
    <mergeCell ref="D26:E26"/>
    <mergeCell ref="B27:C27"/>
    <mergeCell ref="D27:E27"/>
    <mergeCell ref="A28:H28"/>
    <mergeCell ref="B29:C29"/>
    <mergeCell ref="D29:E29"/>
    <mergeCell ref="B30:C30"/>
    <mergeCell ref="D30:E30"/>
  </mergeCells>
  <pageMargins left="0.51181102362204722" right="0.31496062992125984" top="0.35433070866141736" bottom="0.35433070866141736" header="0.31496062992125984" footer="0.31496062992125984"/>
  <pageSetup paperSize="9" scale="5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U28"/>
  <sheetViews>
    <sheetView zoomScale="67" zoomScaleNormal="67" workbookViewId="0">
      <selection activeCell="B5" sqref="B5:R5"/>
    </sheetView>
  </sheetViews>
  <sheetFormatPr defaultColWidth="9.140625" defaultRowHeight="15" x14ac:dyDescent="0.25"/>
  <cols>
    <col min="1" max="1" width="3.5703125" style="1" customWidth="1"/>
    <col min="2" max="2" width="15.140625" style="1" customWidth="1"/>
    <col min="3" max="3" width="9.140625" style="1"/>
    <col min="4" max="4" width="16.7109375" style="1" customWidth="1"/>
    <col min="5" max="5" width="9.140625" style="1"/>
    <col min="6" max="6" width="20" style="1" customWidth="1"/>
    <col min="7" max="8" width="14" style="1" customWidth="1"/>
    <col min="9" max="9" width="34.7109375" style="1" customWidth="1"/>
    <col min="10" max="10" width="14.7109375" style="1" customWidth="1"/>
    <col min="11" max="11" width="28.42578125" style="6" customWidth="1"/>
    <col min="12" max="12" width="13.5703125" style="1" bestFit="1" customWidth="1"/>
    <col min="13" max="13" width="13.85546875" style="1" customWidth="1"/>
    <col min="14" max="14" width="14.85546875" style="1" customWidth="1"/>
    <col min="15" max="15" width="15" style="1" bestFit="1" customWidth="1"/>
    <col min="16" max="16" width="15.140625" style="1" customWidth="1"/>
    <col min="17" max="17" width="14.7109375" style="1" customWidth="1"/>
    <col min="18" max="18" width="11.5703125" style="1" customWidth="1"/>
    <col min="19" max="20" width="9.140625" style="1"/>
    <col min="21" max="21" width="10.140625" style="1" bestFit="1" customWidth="1"/>
    <col min="22" max="16384" width="9.140625" style="1"/>
  </cols>
  <sheetData>
    <row r="3" spans="2:21" ht="20.25" customHeight="1" x14ac:dyDescent="0.25">
      <c r="B3" s="287" t="s">
        <v>193</v>
      </c>
      <c r="C3" s="287"/>
      <c r="D3" s="287"/>
      <c r="E3" s="287"/>
      <c r="F3" s="287"/>
      <c r="G3" s="287"/>
      <c r="H3" s="287"/>
      <c r="I3" s="287"/>
      <c r="J3" s="287"/>
      <c r="K3" s="287"/>
      <c r="L3" s="287"/>
      <c r="M3" s="287"/>
      <c r="N3" s="287"/>
      <c r="O3" s="287"/>
      <c r="P3" s="287"/>
      <c r="Q3" s="287"/>
      <c r="R3" s="287"/>
    </row>
    <row r="5" spans="2:21" ht="44.25" customHeight="1" x14ac:dyDescent="0.25">
      <c r="B5" s="167" t="s">
        <v>0</v>
      </c>
      <c r="C5" s="288" t="s">
        <v>1</v>
      </c>
      <c r="D5" s="288"/>
      <c r="E5" s="288" t="s">
        <v>2</v>
      </c>
      <c r="F5" s="288"/>
      <c r="G5" s="167" t="s">
        <v>27</v>
      </c>
      <c r="H5" s="167" t="s">
        <v>52</v>
      </c>
      <c r="I5" s="167" t="s">
        <v>28</v>
      </c>
      <c r="J5" s="167" t="s">
        <v>194</v>
      </c>
      <c r="K5" s="167" t="s">
        <v>25</v>
      </c>
      <c r="L5" s="68" t="s">
        <v>108</v>
      </c>
      <c r="M5" s="68" t="s">
        <v>109</v>
      </c>
      <c r="N5" s="68" t="s">
        <v>110</v>
      </c>
      <c r="O5" s="68" t="s">
        <v>111</v>
      </c>
      <c r="P5" s="68" t="s">
        <v>213</v>
      </c>
      <c r="Q5" s="68" t="s">
        <v>113</v>
      </c>
      <c r="R5" s="68" t="s">
        <v>114</v>
      </c>
    </row>
    <row r="6" spans="2:21" s="96" customFormat="1" ht="18.75" customHeight="1" x14ac:dyDescent="0.25">
      <c r="B6" s="289" t="s">
        <v>22</v>
      </c>
      <c r="C6" s="289"/>
      <c r="D6" s="289"/>
      <c r="E6" s="289"/>
      <c r="F6" s="289"/>
      <c r="G6" s="289"/>
      <c r="H6" s="289"/>
      <c r="I6" s="289"/>
      <c r="J6" s="52">
        <f>SUM(J7:J17)</f>
        <v>18998000</v>
      </c>
      <c r="K6" s="58"/>
      <c r="L6" s="52">
        <f t="shared" ref="L6:Q6" si="0">SUM(L7:L17)</f>
        <v>18998000</v>
      </c>
      <c r="M6" s="103">
        <f t="shared" si="0"/>
        <v>0</v>
      </c>
      <c r="N6" s="104">
        <f t="shared" si="0"/>
        <v>4090000</v>
      </c>
      <c r="O6" s="104">
        <f t="shared" si="0"/>
        <v>23088000</v>
      </c>
      <c r="P6" s="104">
        <f t="shared" si="0"/>
        <v>10903392.029999999</v>
      </c>
      <c r="Q6" s="104">
        <f t="shared" si="0"/>
        <v>12184607.970000001</v>
      </c>
      <c r="R6" s="73">
        <f t="shared" ref="R6:R27" si="1">(P6*100)/O6</f>
        <v>47.225363955301454</v>
      </c>
    </row>
    <row r="7" spans="2:21" s="4" customFormat="1" ht="30.75" customHeight="1" x14ac:dyDescent="0.25">
      <c r="B7" s="163" t="s">
        <v>195</v>
      </c>
      <c r="C7" s="279" t="s">
        <v>180</v>
      </c>
      <c r="D7" s="279"/>
      <c r="E7" s="280" t="s">
        <v>12</v>
      </c>
      <c r="F7" s="280"/>
      <c r="G7" s="164" t="s">
        <v>196</v>
      </c>
      <c r="H7" s="5">
        <v>300000</v>
      </c>
      <c r="I7" s="163" t="s">
        <v>29</v>
      </c>
      <c r="J7" s="3">
        <v>300000</v>
      </c>
      <c r="K7" s="50" t="s">
        <v>62</v>
      </c>
      <c r="L7" s="3">
        <v>300000</v>
      </c>
      <c r="M7" s="69"/>
      <c r="N7" s="71">
        <v>250000</v>
      </c>
      <c r="O7" s="71">
        <f t="shared" ref="O7:O26" si="2">J7-M7+N7</f>
        <v>550000</v>
      </c>
      <c r="P7" s="71">
        <v>79532</v>
      </c>
      <c r="Q7" s="71">
        <f t="shared" ref="Q7:Q26" si="3">O7-P7</f>
        <v>470468</v>
      </c>
      <c r="R7" s="72">
        <f t="shared" si="1"/>
        <v>14.460363636363637</v>
      </c>
    </row>
    <row r="8" spans="2:21" s="4" customFormat="1" ht="47.25" customHeight="1" x14ac:dyDescent="0.25">
      <c r="B8" s="163" t="s">
        <v>4</v>
      </c>
      <c r="C8" s="279" t="s">
        <v>181</v>
      </c>
      <c r="D8" s="279"/>
      <c r="E8" s="280" t="s">
        <v>197</v>
      </c>
      <c r="F8" s="280"/>
      <c r="G8" s="164" t="s">
        <v>198</v>
      </c>
      <c r="H8" s="5">
        <v>10000000</v>
      </c>
      <c r="I8" s="163" t="s">
        <v>30</v>
      </c>
      <c r="J8" s="3">
        <v>1000000</v>
      </c>
      <c r="K8" s="50" t="s">
        <v>62</v>
      </c>
      <c r="L8" s="3">
        <v>1000000</v>
      </c>
      <c r="M8" s="69"/>
      <c r="N8" s="71"/>
      <c r="O8" s="71">
        <f t="shared" si="2"/>
        <v>1000000</v>
      </c>
      <c r="P8" s="71">
        <v>642676.87</v>
      </c>
      <c r="Q8" s="71">
        <f t="shared" si="3"/>
        <v>357323.13</v>
      </c>
      <c r="R8" s="72">
        <f t="shared" si="1"/>
        <v>64.267686999999995</v>
      </c>
    </row>
    <row r="9" spans="2:21" s="4" customFormat="1" ht="93" customHeight="1" x14ac:dyDescent="0.25">
      <c r="B9" s="163" t="s">
        <v>7</v>
      </c>
      <c r="C9" s="279" t="s">
        <v>182</v>
      </c>
      <c r="D9" s="279"/>
      <c r="E9" s="280" t="s">
        <v>211</v>
      </c>
      <c r="F9" s="280"/>
      <c r="G9" s="164" t="s">
        <v>198</v>
      </c>
      <c r="H9" s="5">
        <v>63500000</v>
      </c>
      <c r="I9" s="163" t="s">
        <v>31</v>
      </c>
      <c r="J9" s="3">
        <v>13198000</v>
      </c>
      <c r="K9" s="50" t="s">
        <v>62</v>
      </c>
      <c r="L9" s="3">
        <v>13198000</v>
      </c>
      <c r="M9" s="69"/>
      <c r="N9" s="71"/>
      <c r="O9" s="71">
        <f t="shared" si="2"/>
        <v>13198000</v>
      </c>
      <c r="P9" s="71">
        <v>6858985.6500000004</v>
      </c>
      <c r="Q9" s="71">
        <f t="shared" si="3"/>
        <v>6339014.3499999996</v>
      </c>
      <c r="R9" s="72">
        <f t="shared" si="1"/>
        <v>51.969886725261404</v>
      </c>
    </row>
    <row r="10" spans="2:21" s="4" customFormat="1" ht="30.75" customHeight="1" x14ac:dyDescent="0.25">
      <c r="B10" s="163" t="s">
        <v>199</v>
      </c>
      <c r="C10" s="279" t="s">
        <v>183</v>
      </c>
      <c r="D10" s="279"/>
      <c r="E10" s="280" t="s">
        <v>13</v>
      </c>
      <c r="F10" s="280"/>
      <c r="G10" s="164" t="s">
        <v>196</v>
      </c>
      <c r="H10" s="307">
        <f>J10+J11+J12+J13+J14+J15+J16+J17</f>
        <v>4500000</v>
      </c>
      <c r="I10" s="163" t="s">
        <v>32</v>
      </c>
      <c r="J10" s="3">
        <v>400000</v>
      </c>
      <c r="K10" s="50" t="s">
        <v>63</v>
      </c>
      <c r="L10" s="3">
        <v>400000</v>
      </c>
      <c r="M10" s="69"/>
      <c r="N10" s="71"/>
      <c r="O10" s="71">
        <f t="shared" si="2"/>
        <v>400000</v>
      </c>
      <c r="P10" s="71">
        <v>246917.44</v>
      </c>
      <c r="Q10" s="71">
        <f t="shared" si="3"/>
        <v>153082.56</v>
      </c>
      <c r="R10" s="72">
        <f t="shared" si="1"/>
        <v>61.72936</v>
      </c>
    </row>
    <row r="11" spans="2:21" s="4" customFormat="1" ht="30.75" customHeight="1" x14ac:dyDescent="0.25">
      <c r="B11" s="163" t="s">
        <v>199</v>
      </c>
      <c r="C11" s="279" t="s">
        <v>183</v>
      </c>
      <c r="D11" s="279"/>
      <c r="E11" s="280" t="s">
        <v>209</v>
      </c>
      <c r="F11" s="280"/>
      <c r="G11" s="164" t="s">
        <v>196</v>
      </c>
      <c r="H11" s="308"/>
      <c r="I11" s="163" t="s">
        <v>210</v>
      </c>
      <c r="J11" s="3">
        <v>150000</v>
      </c>
      <c r="K11" s="50" t="s">
        <v>63</v>
      </c>
      <c r="L11" s="3">
        <v>150000</v>
      </c>
      <c r="M11" s="69"/>
      <c r="N11" s="71"/>
      <c r="O11" s="71">
        <f t="shared" si="2"/>
        <v>150000</v>
      </c>
      <c r="P11" s="94">
        <v>36568.199999999997</v>
      </c>
      <c r="Q11" s="71">
        <f t="shared" si="3"/>
        <v>113431.8</v>
      </c>
      <c r="R11" s="72">
        <f t="shared" si="1"/>
        <v>24.378799999999998</v>
      </c>
    </row>
    <row r="12" spans="2:21" s="4" customFormat="1" ht="30.75" customHeight="1" x14ac:dyDescent="0.25">
      <c r="B12" s="163" t="s">
        <v>199</v>
      </c>
      <c r="C12" s="279" t="s">
        <v>183</v>
      </c>
      <c r="D12" s="279"/>
      <c r="E12" s="280" t="s">
        <v>14</v>
      </c>
      <c r="F12" s="280"/>
      <c r="G12" s="164" t="s">
        <v>196</v>
      </c>
      <c r="H12" s="308"/>
      <c r="I12" s="163" t="s">
        <v>33</v>
      </c>
      <c r="J12" s="3">
        <v>500000</v>
      </c>
      <c r="K12" s="50" t="s">
        <v>64</v>
      </c>
      <c r="L12" s="3">
        <v>500000</v>
      </c>
      <c r="M12" s="69"/>
      <c r="N12" s="71">
        <v>200000</v>
      </c>
      <c r="O12" s="71">
        <f t="shared" si="2"/>
        <v>700000</v>
      </c>
      <c r="P12" s="71">
        <v>44581.06</v>
      </c>
      <c r="Q12" s="71">
        <f t="shared" si="3"/>
        <v>655418.93999999994</v>
      </c>
      <c r="R12" s="72">
        <f t="shared" si="1"/>
        <v>6.3687228571428571</v>
      </c>
    </row>
    <row r="13" spans="2:21" s="4" customFormat="1" ht="30.75" customHeight="1" x14ac:dyDescent="0.25">
      <c r="B13" s="163" t="s">
        <v>199</v>
      </c>
      <c r="C13" s="279" t="s">
        <v>183</v>
      </c>
      <c r="D13" s="279"/>
      <c r="E13" s="280" t="s">
        <v>15</v>
      </c>
      <c r="F13" s="280"/>
      <c r="G13" s="164" t="s">
        <v>196</v>
      </c>
      <c r="H13" s="308"/>
      <c r="I13" s="163" t="s">
        <v>37</v>
      </c>
      <c r="J13" s="3">
        <v>100000</v>
      </c>
      <c r="K13" s="50" t="s">
        <v>64</v>
      </c>
      <c r="L13" s="3">
        <v>100000</v>
      </c>
      <c r="M13" s="69"/>
      <c r="N13" s="71">
        <f>50000+140000</f>
        <v>190000</v>
      </c>
      <c r="O13" s="71">
        <f t="shared" si="2"/>
        <v>290000</v>
      </c>
      <c r="P13" s="71">
        <v>39102.93</v>
      </c>
      <c r="Q13" s="71">
        <f t="shared" si="3"/>
        <v>250897.07</v>
      </c>
      <c r="R13" s="72">
        <f t="shared" si="1"/>
        <v>13.483768965517241</v>
      </c>
    </row>
    <row r="14" spans="2:21" s="4" customFormat="1" ht="54" customHeight="1" x14ac:dyDescent="0.25">
      <c r="B14" s="163" t="s">
        <v>199</v>
      </c>
      <c r="C14" s="279" t="s">
        <v>183</v>
      </c>
      <c r="D14" s="279"/>
      <c r="E14" s="280" t="s">
        <v>16</v>
      </c>
      <c r="F14" s="280"/>
      <c r="G14" s="164" t="s">
        <v>196</v>
      </c>
      <c r="H14" s="308"/>
      <c r="I14" s="163" t="s">
        <v>34</v>
      </c>
      <c r="J14" s="3">
        <v>800000</v>
      </c>
      <c r="K14" s="50" t="s">
        <v>179</v>
      </c>
      <c r="L14" s="3">
        <v>800000</v>
      </c>
      <c r="M14" s="69"/>
      <c r="N14" s="71">
        <v>1250000</v>
      </c>
      <c r="O14" s="71">
        <f t="shared" si="2"/>
        <v>2050000</v>
      </c>
      <c r="P14" s="71">
        <v>728452.84</v>
      </c>
      <c r="Q14" s="71">
        <f t="shared" si="3"/>
        <v>1321547.1600000001</v>
      </c>
      <c r="R14" s="72">
        <f t="shared" si="1"/>
        <v>35.53428487804878</v>
      </c>
    </row>
    <row r="15" spans="2:21" s="4" customFormat="1" ht="30.75" customHeight="1" x14ac:dyDescent="0.25">
      <c r="B15" s="163" t="s">
        <v>199</v>
      </c>
      <c r="C15" s="279" t="s">
        <v>183</v>
      </c>
      <c r="D15" s="279"/>
      <c r="E15" s="280" t="s">
        <v>18</v>
      </c>
      <c r="F15" s="280"/>
      <c r="G15" s="164" t="s">
        <v>196</v>
      </c>
      <c r="H15" s="308"/>
      <c r="I15" s="163" t="s">
        <v>40</v>
      </c>
      <c r="J15" s="3">
        <v>200000</v>
      </c>
      <c r="K15" s="50" t="s">
        <v>66</v>
      </c>
      <c r="L15" s="3">
        <v>200000</v>
      </c>
      <c r="M15" s="69"/>
      <c r="N15" s="71"/>
      <c r="O15" s="71">
        <f t="shared" si="2"/>
        <v>200000</v>
      </c>
      <c r="P15" s="71">
        <v>99330.85</v>
      </c>
      <c r="Q15" s="71">
        <f t="shared" si="3"/>
        <v>100669.15</v>
      </c>
      <c r="R15" s="72">
        <f t="shared" si="1"/>
        <v>49.665424999999999</v>
      </c>
    </row>
    <row r="16" spans="2:21" s="4" customFormat="1" ht="30.75" customHeight="1" x14ac:dyDescent="0.25">
      <c r="B16" s="163" t="s">
        <v>199</v>
      </c>
      <c r="C16" s="279" t="s">
        <v>183</v>
      </c>
      <c r="D16" s="279"/>
      <c r="E16" s="280" t="s">
        <v>19</v>
      </c>
      <c r="F16" s="280"/>
      <c r="G16" s="164" t="s">
        <v>196</v>
      </c>
      <c r="H16" s="308"/>
      <c r="I16" s="163" t="s">
        <v>41</v>
      </c>
      <c r="J16" s="3">
        <v>350000</v>
      </c>
      <c r="K16" s="50" t="s">
        <v>66</v>
      </c>
      <c r="L16" s="3">
        <v>350000</v>
      </c>
      <c r="M16" s="69"/>
      <c r="N16" s="71"/>
      <c r="O16" s="71">
        <f t="shared" si="2"/>
        <v>350000</v>
      </c>
      <c r="P16" s="71">
        <v>367152.94</v>
      </c>
      <c r="Q16" s="71">
        <f t="shared" si="3"/>
        <v>-17152.940000000002</v>
      </c>
      <c r="R16" s="72">
        <f t="shared" si="1"/>
        <v>104.90084</v>
      </c>
      <c r="U16" s="93"/>
    </row>
    <row r="17" spans="2:18" ht="30.75" customHeight="1" x14ac:dyDescent="0.25">
      <c r="B17" s="163" t="s">
        <v>199</v>
      </c>
      <c r="C17" s="279" t="s">
        <v>183</v>
      </c>
      <c r="D17" s="279"/>
      <c r="E17" s="280" t="s">
        <v>20</v>
      </c>
      <c r="F17" s="280"/>
      <c r="G17" s="164" t="s">
        <v>196</v>
      </c>
      <c r="H17" s="309"/>
      <c r="I17" s="163" t="s">
        <v>42</v>
      </c>
      <c r="J17" s="3">
        <v>2000000</v>
      </c>
      <c r="K17" s="50" t="s">
        <v>62</v>
      </c>
      <c r="L17" s="3">
        <v>2000000</v>
      </c>
      <c r="M17" s="70"/>
      <c r="N17" s="71">
        <v>2200000</v>
      </c>
      <c r="O17" s="71">
        <f t="shared" si="2"/>
        <v>4200000</v>
      </c>
      <c r="P17" s="71">
        <v>1760091.25</v>
      </c>
      <c r="Q17" s="71">
        <f t="shared" si="3"/>
        <v>2439908.75</v>
      </c>
      <c r="R17" s="72">
        <f t="shared" si="1"/>
        <v>41.906934523809525</v>
      </c>
    </row>
    <row r="18" spans="2:18" s="96" customFormat="1" ht="23.25" customHeight="1" x14ac:dyDescent="0.25">
      <c r="B18" s="285" t="s">
        <v>200</v>
      </c>
      <c r="C18" s="285"/>
      <c r="D18" s="285"/>
      <c r="E18" s="285"/>
      <c r="F18" s="285"/>
      <c r="G18" s="285"/>
      <c r="H18" s="285"/>
      <c r="I18" s="285"/>
      <c r="J18" s="53">
        <f>J19</f>
        <v>500000</v>
      </c>
      <c r="K18" s="122"/>
      <c r="L18" s="53">
        <f>L19</f>
        <v>500000</v>
      </c>
      <c r="M18" s="105">
        <f>M19</f>
        <v>0</v>
      </c>
      <c r="N18" s="104">
        <f>N19</f>
        <v>0</v>
      </c>
      <c r="O18" s="104">
        <f t="shared" ref="O18:O19" si="4">J18-M18+N18</f>
        <v>500000</v>
      </c>
      <c r="P18" s="104">
        <f>P19</f>
        <v>0</v>
      </c>
      <c r="Q18" s="104">
        <f t="shared" ref="Q18:Q19" si="5">O18-P18</f>
        <v>500000</v>
      </c>
      <c r="R18" s="73">
        <f t="shared" ref="R18:R19" si="6">(P18*100)/O18</f>
        <v>0</v>
      </c>
    </row>
    <row r="19" spans="2:18" ht="49.5" customHeight="1" x14ac:dyDescent="0.25">
      <c r="B19" s="163" t="s">
        <v>201</v>
      </c>
      <c r="C19" s="279" t="s">
        <v>202</v>
      </c>
      <c r="D19" s="279"/>
      <c r="E19" s="280" t="s">
        <v>203</v>
      </c>
      <c r="F19" s="280"/>
      <c r="G19" s="164" t="s">
        <v>196</v>
      </c>
      <c r="H19" s="5">
        <v>500000</v>
      </c>
      <c r="I19" s="163" t="s">
        <v>42</v>
      </c>
      <c r="J19" s="3">
        <v>500000</v>
      </c>
      <c r="K19" s="50" t="s">
        <v>62</v>
      </c>
      <c r="L19" s="3">
        <v>500000</v>
      </c>
      <c r="M19" s="70"/>
      <c r="N19" s="71"/>
      <c r="O19" s="71">
        <f t="shared" si="4"/>
        <v>500000</v>
      </c>
      <c r="P19" s="71"/>
      <c r="Q19" s="71">
        <f t="shared" si="5"/>
        <v>500000</v>
      </c>
      <c r="R19" s="72">
        <f t="shared" si="6"/>
        <v>0</v>
      </c>
    </row>
    <row r="20" spans="2:18" s="96" customFormat="1" ht="23.25" customHeight="1" x14ac:dyDescent="0.25">
      <c r="B20" s="285" t="s">
        <v>23</v>
      </c>
      <c r="C20" s="285"/>
      <c r="D20" s="285"/>
      <c r="E20" s="285"/>
      <c r="F20" s="285"/>
      <c r="G20" s="285"/>
      <c r="H20" s="285"/>
      <c r="I20" s="285"/>
      <c r="J20" s="53">
        <f>J21</f>
        <v>2200000</v>
      </c>
      <c r="K20" s="122"/>
      <c r="L20" s="53">
        <f>L21</f>
        <v>2200000</v>
      </c>
      <c r="M20" s="105">
        <f>M21</f>
        <v>2200000</v>
      </c>
      <c r="N20" s="104">
        <f>N21</f>
        <v>0</v>
      </c>
      <c r="O20" s="104">
        <f t="shared" si="2"/>
        <v>0</v>
      </c>
      <c r="P20" s="104">
        <f>P21</f>
        <v>0</v>
      </c>
      <c r="Q20" s="104">
        <f t="shared" si="3"/>
        <v>0</v>
      </c>
      <c r="R20" s="73" t="e">
        <f t="shared" si="1"/>
        <v>#DIV/0!</v>
      </c>
    </row>
    <row r="21" spans="2:18" ht="49.5" customHeight="1" x14ac:dyDescent="0.25">
      <c r="B21" s="163" t="s">
        <v>9</v>
      </c>
      <c r="C21" s="279" t="s">
        <v>10</v>
      </c>
      <c r="D21" s="279"/>
      <c r="E21" s="280" t="s">
        <v>204</v>
      </c>
      <c r="F21" s="280"/>
      <c r="G21" s="164" t="s">
        <v>205</v>
      </c>
      <c r="H21" s="5">
        <v>13350000</v>
      </c>
      <c r="I21" s="163" t="s">
        <v>43</v>
      </c>
      <c r="J21" s="3">
        <v>2200000</v>
      </c>
      <c r="K21" s="50" t="s">
        <v>143</v>
      </c>
      <c r="L21" s="3">
        <v>2200000</v>
      </c>
      <c r="M21" s="70">
        <v>2200000</v>
      </c>
      <c r="N21" s="71"/>
      <c r="O21" s="71">
        <f t="shared" si="2"/>
        <v>0</v>
      </c>
      <c r="P21" s="71"/>
      <c r="Q21" s="71">
        <f t="shared" si="3"/>
        <v>0</v>
      </c>
      <c r="R21" s="72" t="e">
        <f t="shared" si="1"/>
        <v>#DIV/0!</v>
      </c>
    </row>
    <row r="22" spans="2:18" ht="22.5" customHeight="1" x14ac:dyDescent="0.25">
      <c r="B22" s="285" t="s">
        <v>24</v>
      </c>
      <c r="C22" s="285"/>
      <c r="D22" s="285"/>
      <c r="E22" s="285"/>
      <c r="F22" s="285"/>
      <c r="G22" s="285"/>
      <c r="H22" s="285"/>
      <c r="I22" s="285"/>
      <c r="J22" s="53">
        <f>SUM(J23:J24)</f>
        <v>2200000</v>
      </c>
      <c r="K22" s="57"/>
      <c r="L22" s="53">
        <f>SUM(L23:L24)</f>
        <v>2200000</v>
      </c>
      <c r="M22" s="75">
        <f>M23+M24</f>
        <v>0</v>
      </c>
      <c r="N22" s="76">
        <f>N23+N24</f>
        <v>0</v>
      </c>
      <c r="O22" s="76">
        <f t="shared" si="2"/>
        <v>2200000</v>
      </c>
      <c r="P22" s="76">
        <f>P23+P24</f>
        <v>0</v>
      </c>
      <c r="Q22" s="76">
        <f t="shared" si="3"/>
        <v>2200000</v>
      </c>
      <c r="R22" s="77">
        <f t="shared" si="1"/>
        <v>0</v>
      </c>
    </row>
    <row r="23" spans="2:18" ht="45.75" customHeight="1" x14ac:dyDescent="0.25">
      <c r="B23" s="163" t="s">
        <v>57</v>
      </c>
      <c r="C23" s="279" t="s">
        <v>206</v>
      </c>
      <c r="D23" s="279"/>
      <c r="E23" s="280" t="s">
        <v>172</v>
      </c>
      <c r="F23" s="280"/>
      <c r="G23" s="164" t="s">
        <v>207</v>
      </c>
      <c r="H23" s="5">
        <v>6397000</v>
      </c>
      <c r="I23" s="163" t="s">
        <v>44</v>
      </c>
      <c r="J23" s="3">
        <v>500000</v>
      </c>
      <c r="K23" s="50" t="s">
        <v>178</v>
      </c>
      <c r="L23" s="3">
        <v>500000</v>
      </c>
      <c r="M23" s="70"/>
      <c r="N23" s="71"/>
      <c r="O23" s="71">
        <f t="shared" si="2"/>
        <v>500000</v>
      </c>
      <c r="P23" s="71"/>
      <c r="Q23" s="71">
        <f t="shared" si="3"/>
        <v>500000</v>
      </c>
      <c r="R23" s="72">
        <f t="shared" si="1"/>
        <v>0</v>
      </c>
    </row>
    <row r="24" spans="2:18" ht="48" customHeight="1" x14ac:dyDescent="0.25">
      <c r="B24" s="163" t="s">
        <v>208</v>
      </c>
      <c r="C24" s="279" t="s">
        <v>175</v>
      </c>
      <c r="D24" s="279"/>
      <c r="E24" s="280" t="s">
        <v>176</v>
      </c>
      <c r="F24" s="280"/>
      <c r="G24" s="164" t="s">
        <v>196</v>
      </c>
      <c r="H24" s="5">
        <v>1700000</v>
      </c>
      <c r="I24" s="163" t="s">
        <v>174</v>
      </c>
      <c r="J24" s="3">
        <v>1700000</v>
      </c>
      <c r="K24" s="50" t="s">
        <v>68</v>
      </c>
      <c r="L24" s="3">
        <v>1700000</v>
      </c>
      <c r="M24" s="70"/>
      <c r="N24" s="71"/>
      <c r="O24" s="71">
        <f t="shared" si="2"/>
        <v>1700000</v>
      </c>
      <c r="P24" s="71"/>
      <c r="Q24" s="71">
        <f t="shared" si="3"/>
        <v>1700000</v>
      </c>
      <c r="R24" s="72">
        <f t="shared" si="1"/>
        <v>0</v>
      </c>
    </row>
    <row r="25" spans="2:18" ht="30.75" customHeight="1" x14ac:dyDescent="0.25">
      <c r="B25" s="281" t="s">
        <v>131</v>
      </c>
      <c r="C25" s="282"/>
      <c r="D25" s="282"/>
      <c r="E25" s="282"/>
      <c r="F25" s="282"/>
      <c r="G25" s="282"/>
      <c r="H25" s="282"/>
      <c r="I25" s="282"/>
      <c r="J25" s="64">
        <f>J26</f>
        <v>2000</v>
      </c>
      <c r="K25" s="57"/>
      <c r="L25" s="64">
        <f>L26</f>
        <v>2000</v>
      </c>
      <c r="M25" s="75">
        <f>M26</f>
        <v>0</v>
      </c>
      <c r="N25" s="76">
        <f>N26</f>
        <v>143725142</v>
      </c>
      <c r="O25" s="76">
        <f t="shared" si="2"/>
        <v>143727142</v>
      </c>
      <c r="P25" s="76">
        <f>P26</f>
        <v>142710724.59</v>
      </c>
      <c r="Q25" s="76">
        <f t="shared" si="3"/>
        <v>1016417.4099999964</v>
      </c>
      <c r="R25" s="77">
        <f t="shared" si="1"/>
        <v>99.292814568037542</v>
      </c>
    </row>
    <row r="26" spans="2:18" ht="30.75" customHeight="1" x14ac:dyDescent="0.25">
      <c r="B26" s="61"/>
      <c r="C26" s="283"/>
      <c r="D26" s="283"/>
      <c r="E26" s="284" t="s">
        <v>21</v>
      </c>
      <c r="F26" s="284"/>
      <c r="G26" s="166" t="s">
        <v>196</v>
      </c>
      <c r="H26" s="62"/>
      <c r="I26" s="165" t="s">
        <v>132</v>
      </c>
      <c r="J26" s="63">
        <v>2000</v>
      </c>
      <c r="K26" s="50" t="s">
        <v>162</v>
      </c>
      <c r="L26" s="63">
        <v>2000</v>
      </c>
      <c r="M26" s="70"/>
      <c r="N26" s="71">
        <v>143725142</v>
      </c>
      <c r="O26" s="71">
        <f t="shared" si="2"/>
        <v>143727142</v>
      </c>
      <c r="P26" s="71">
        <v>142710724.59</v>
      </c>
      <c r="Q26" s="71">
        <f t="shared" si="3"/>
        <v>1016417.4099999964</v>
      </c>
      <c r="R26" s="72">
        <f t="shared" si="1"/>
        <v>99.292814568037542</v>
      </c>
    </row>
    <row r="27" spans="2:18" ht="25.5" customHeight="1" x14ac:dyDescent="0.25">
      <c r="B27" s="65"/>
      <c r="C27" s="278"/>
      <c r="D27" s="278"/>
      <c r="E27" s="278"/>
      <c r="F27" s="278"/>
      <c r="G27" s="162"/>
      <c r="H27" s="66"/>
      <c r="I27" s="168" t="s">
        <v>46</v>
      </c>
      <c r="J27" s="55">
        <f>J22+J20+J6+J25+J18</f>
        <v>23900000</v>
      </c>
      <c r="K27" s="55"/>
      <c r="L27" s="55">
        <f>L22+L20+L6+L25+L18</f>
        <v>23900000</v>
      </c>
      <c r="M27" s="55">
        <f t="shared" ref="M27:P27" si="7">M22+M20+M6+M25</f>
        <v>2200000</v>
      </c>
      <c r="N27" s="55">
        <f t="shared" si="7"/>
        <v>147815142</v>
      </c>
      <c r="O27" s="55">
        <f>O22+O20+O6+O25+O18</f>
        <v>169515142</v>
      </c>
      <c r="P27" s="55">
        <f t="shared" si="7"/>
        <v>153614116.62</v>
      </c>
      <c r="Q27" s="55">
        <f>Q22+Q20+Q6+Q25+Q18</f>
        <v>15901025.379999997</v>
      </c>
      <c r="R27" s="77">
        <f t="shared" si="1"/>
        <v>90.619702055878875</v>
      </c>
    </row>
    <row r="28" spans="2:18" x14ac:dyDescent="0.25">
      <c r="B28" s="286" t="s">
        <v>163</v>
      </c>
      <c r="C28" s="286"/>
      <c r="D28" s="286"/>
      <c r="E28" s="286"/>
      <c r="F28" s="286"/>
      <c r="G28" s="286"/>
      <c r="H28" s="286"/>
      <c r="I28" s="286"/>
      <c r="J28" s="286"/>
      <c r="K28" s="286"/>
    </row>
  </sheetData>
  <mergeCells count="44">
    <mergeCell ref="B3:R3"/>
    <mergeCell ref="C5:D5"/>
    <mergeCell ref="E5:F5"/>
    <mergeCell ref="B6:I6"/>
    <mergeCell ref="C7:D7"/>
    <mergeCell ref="E7:F7"/>
    <mergeCell ref="C8:D8"/>
    <mergeCell ref="E8:F8"/>
    <mergeCell ref="C9:D9"/>
    <mergeCell ref="E9:F9"/>
    <mergeCell ref="C10:D10"/>
    <mergeCell ref="E10:F10"/>
    <mergeCell ref="B20:I20"/>
    <mergeCell ref="B18:I18"/>
    <mergeCell ref="C19:D19"/>
    <mergeCell ref="E19:F19"/>
    <mergeCell ref="H10:H17"/>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B28:K28"/>
    <mergeCell ref="C21:D21"/>
    <mergeCell ref="E21:F21"/>
    <mergeCell ref="B22:I22"/>
    <mergeCell ref="C23:D23"/>
    <mergeCell ref="E23:F23"/>
    <mergeCell ref="C24:D24"/>
    <mergeCell ref="E24:F24"/>
    <mergeCell ref="B25:I25"/>
    <mergeCell ref="C26:D26"/>
    <mergeCell ref="E26:F26"/>
    <mergeCell ref="C27:D27"/>
    <mergeCell ref="E27:F27"/>
  </mergeCells>
  <pageMargins left="0.51181102362204722" right="0.31496062992125984" top="0.35433070866141736" bottom="0.35433070866141736" header="0.31496062992125984" footer="0.31496062992125984"/>
  <pageSetup paperSize="9" scale="49"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30"/>
  <sheetViews>
    <sheetView showGridLines="0" topLeftCell="A7" zoomScale="81" zoomScaleNormal="81" workbookViewId="0">
      <selection activeCell="B17" sqref="B17:J18"/>
    </sheetView>
  </sheetViews>
  <sheetFormatPr defaultColWidth="9.140625" defaultRowHeight="15" x14ac:dyDescent="0.25"/>
  <cols>
    <col min="1" max="1" width="26.140625" style="1" customWidth="1"/>
    <col min="2" max="2" width="15.140625" style="1" customWidth="1"/>
    <col min="3" max="3" width="9.140625" style="1"/>
    <col min="4" max="4" width="16.7109375" style="1" customWidth="1"/>
    <col min="5" max="5" width="9.140625" style="1"/>
    <col min="6" max="6" width="17.5703125" style="1" customWidth="1"/>
    <col min="7" max="8" width="14" style="1" customWidth="1"/>
    <col min="9" max="9" width="34.7109375" style="1" customWidth="1"/>
    <col min="10" max="10" width="14.7109375" style="1" customWidth="1"/>
    <col min="11" max="11" width="28.42578125" style="6" customWidth="1"/>
    <col min="12" max="13" width="9.140625" style="1"/>
    <col min="14" max="14" width="10.140625" style="1" bestFit="1" customWidth="1"/>
    <col min="15" max="16384" width="9.140625" style="1"/>
  </cols>
  <sheetData>
    <row r="2" spans="2:14" ht="20.25" customHeight="1" x14ac:dyDescent="0.25">
      <c r="B2" s="287" t="s">
        <v>193</v>
      </c>
      <c r="C2" s="287"/>
      <c r="D2" s="287"/>
      <c r="E2" s="287"/>
      <c r="F2" s="287"/>
      <c r="G2" s="287"/>
      <c r="H2" s="287"/>
      <c r="I2" s="287"/>
      <c r="J2" s="287"/>
      <c r="K2" s="287"/>
    </row>
    <row r="4" spans="2:14" ht="44.25" customHeight="1" x14ac:dyDescent="0.25">
      <c r="B4" s="167" t="s">
        <v>0</v>
      </c>
      <c r="C4" s="288" t="s">
        <v>1</v>
      </c>
      <c r="D4" s="288"/>
      <c r="E4" s="288" t="s">
        <v>2</v>
      </c>
      <c r="F4" s="288"/>
      <c r="G4" s="167" t="s">
        <v>27</v>
      </c>
      <c r="H4" s="167" t="s">
        <v>52</v>
      </c>
      <c r="I4" s="167" t="s">
        <v>28</v>
      </c>
      <c r="J4" s="167" t="s">
        <v>194</v>
      </c>
      <c r="K4" s="167" t="s">
        <v>25</v>
      </c>
    </row>
    <row r="5" spans="2:14" s="96" customFormat="1" ht="18.75" customHeight="1" x14ac:dyDescent="0.25">
      <c r="B5" s="289" t="s">
        <v>22</v>
      </c>
      <c r="C5" s="289"/>
      <c r="D5" s="289"/>
      <c r="E5" s="289"/>
      <c r="F5" s="289"/>
      <c r="G5" s="289"/>
      <c r="H5" s="289"/>
      <c r="I5" s="289"/>
      <c r="J5" s="52">
        <f>SUM(J6:J16)</f>
        <v>18998000</v>
      </c>
      <c r="K5" s="58"/>
    </row>
    <row r="6" spans="2:14" s="4" customFormat="1" ht="30.75" customHeight="1" x14ac:dyDescent="0.25">
      <c r="B6" s="163" t="s">
        <v>195</v>
      </c>
      <c r="C6" s="279" t="s">
        <v>180</v>
      </c>
      <c r="D6" s="279"/>
      <c r="E6" s="280" t="s">
        <v>12</v>
      </c>
      <c r="F6" s="280"/>
      <c r="G6" s="164" t="s">
        <v>196</v>
      </c>
      <c r="H6" s="5">
        <v>300000</v>
      </c>
      <c r="I6" s="163" t="s">
        <v>29</v>
      </c>
      <c r="J6" s="3">
        <v>300000</v>
      </c>
      <c r="K6" s="50" t="s">
        <v>62</v>
      </c>
    </row>
    <row r="7" spans="2:14" s="4" customFormat="1" ht="47.25" customHeight="1" x14ac:dyDescent="0.25">
      <c r="B7" s="163" t="s">
        <v>4</v>
      </c>
      <c r="C7" s="279" t="s">
        <v>181</v>
      </c>
      <c r="D7" s="279"/>
      <c r="E7" s="280" t="s">
        <v>197</v>
      </c>
      <c r="F7" s="280"/>
      <c r="G7" s="164" t="s">
        <v>198</v>
      </c>
      <c r="H7" s="5">
        <v>10000000</v>
      </c>
      <c r="I7" s="163" t="s">
        <v>30</v>
      </c>
      <c r="J7" s="3">
        <v>1000000</v>
      </c>
      <c r="K7" s="50" t="s">
        <v>62</v>
      </c>
    </row>
    <row r="8" spans="2:14" s="4" customFormat="1" ht="93" customHeight="1" x14ac:dyDescent="0.25">
      <c r="B8" s="163" t="s">
        <v>7</v>
      </c>
      <c r="C8" s="279" t="s">
        <v>182</v>
      </c>
      <c r="D8" s="279"/>
      <c r="E8" s="280" t="s">
        <v>212</v>
      </c>
      <c r="F8" s="280"/>
      <c r="G8" s="164" t="s">
        <v>198</v>
      </c>
      <c r="H8" s="5">
        <v>63500000</v>
      </c>
      <c r="I8" s="163" t="s">
        <v>31</v>
      </c>
      <c r="J8" s="3">
        <v>13198000</v>
      </c>
      <c r="K8" s="50" t="s">
        <v>62</v>
      </c>
    </row>
    <row r="9" spans="2:14" s="4" customFormat="1" ht="30.75" customHeight="1" x14ac:dyDescent="0.25">
      <c r="B9" s="163" t="s">
        <v>199</v>
      </c>
      <c r="C9" s="279" t="s">
        <v>183</v>
      </c>
      <c r="D9" s="279"/>
      <c r="E9" s="280" t="s">
        <v>13</v>
      </c>
      <c r="F9" s="280"/>
      <c r="G9" s="164" t="s">
        <v>196</v>
      </c>
      <c r="H9" s="307">
        <f>J9+J10+J11+J12+J13+J14+J15+J16</f>
        <v>4500000</v>
      </c>
      <c r="I9" s="163" t="s">
        <v>32</v>
      </c>
      <c r="J9" s="3">
        <v>400000</v>
      </c>
      <c r="K9" s="50" t="s">
        <v>63</v>
      </c>
    </row>
    <row r="10" spans="2:14" s="4" customFormat="1" ht="30.75" customHeight="1" x14ac:dyDescent="0.25">
      <c r="B10" s="163" t="s">
        <v>199</v>
      </c>
      <c r="C10" s="279" t="s">
        <v>183</v>
      </c>
      <c r="D10" s="279"/>
      <c r="E10" s="280" t="s">
        <v>209</v>
      </c>
      <c r="F10" s="280"/>
      <c r="G10" s="164" t="s">
        <v>196</v>
      </c>
      <c r="H10" s="308"/>
      <c r="I10" s="163" t="s">
        <v>210</v>
      </c>
      <c r="J10" s="3">
        <v>150000</v>
      </c>
      <c r="K10" s="50" t="s">
        <v>63</v>
      </c>
    </row>
    <row r="11" spans="2:14" s="4" customFormat="1" ht="30.75" customHeight="1" x14ac:dyDescent="0.25">
      <c r="B11" s="163" t="s">
        <v>199</v>
      </c>
      <c r="C11" s="279" t="s">
        <v>183</v>
      </c>
      <c r="D11" s="279"/>
      <c r="E11" s="280" t="s">
        <v>14</v>
      </c>
      <c r="F11" s="280"/>
      <c r="G11" s="164" t="s">
        <v>196</v>
      </c>
      <c r="H11" s="308"/>
      <c r="I11" s="163" t="s">
        <v>33</v>
      </c>
      <c r="J11" s="3">
        <v>500000</v>
      </c>
      <c r="K11" s="50" t="s">
        <v>64</v>
      </c>
    </row>
    <row r="12" spans="2:14" s="4" customFormat="1" ht="30.75" customHeight="1" x14ac:dyDescent="0.25">
      <c r="B12" s="163" t="s">
        <v>199</v>
      </c>
      <c r="C12" s="279" t="s">
        <v>183</v>
      </c>
      <c r="D12" s="279"/>
      <c r="E12" s="280" t="s">
        <v>15</v>
      </c>
      <c r="F12" s="280"/>
      <c r="G12" s="164" t="s">
        <v>196</v>
      </c>
      <c r="H12" s="308"/>
      <c r="I12" s="163" t="s">
        <v>37</v>
      </c>
      <c r="J12" s="3">
        <v>100000</v>
      </c>
      <c r="K12" s="50" t="s">
        <v>64</v>
      </c>
    </row>
    <row r="13" spans="2:14" s="4" customFormat="1" ht="54" customHeight="1" x14ac:dyDescent="0.25">
      <c r="B13" s="163" t="s">
        <v>199</v>
      </c>
      <c r="C13" s="279" t="s">
        <v>183</v>
      </c>
      <c r="D13" s="279"/>
      <c r="E13" s="280" t="s">
        <v>16</v>
      </c>
      <c r="F13" s="280"/>
      <c r="G13" s="164" t="s">
        <v>196</v>
      </c>
      <c r="H13" s="308"/>
      <c r="I13" s="163" t="s">
        <v>34</v>
      </c>
      <c r="J13" s="3">
        <v>800000</v>
      </c>
      <c r="K13" s="50" t="s">
        <v>179</v>
      </c>
    </row>
    <row r="14" spans="2:14" s="4" customFormat="1" ht="30.75" customHeight="1" x14ac:dyDescent="0.25">
      <c r="B14" s="163" t="s">
        <v>199</v>
      </c>
      <c r="C14" s="279" t="s">
        <v>183</v>
      </c>
      <c r="D14" s="279"/>
      <c r="E14" s="280" t="s">
        <v>18</v>
      </c>
      <c r="F14" s="280"/>
      <c r="G14" s="164" t="s">
        <v>196</v>
      </c>
      <c r="H14" s="308"/>
      <c r="I14" s="163" t="s">
        <v>40</v>
      </c>
      <c r="J14" s="3">
        <v>200000</v>
      </c>
      <c r="K14" s="50" t="s">
        <v>66</v>
      </c>
    </row>
    <row r="15" spans="2:14" s="4" customFormat="1" ht="30.75" customHeight="1" x14ac:dyDescent="0.25">
      <c r="B15" s="163" t="s">
        <v>199</v>
      </c>
      <c r="C15" s="279" t="s">
        <v>183</v>
      </c>
      <c r="D15" s="279"/>
      <c r="E15" s="280" t="s">
        <v>19</v>
      </c>
      <c r="F15" s="280"/>
      <c r="G15" s="164" t="s">
        <v>196</v>
      </c>
      <c r="H15" s="308"/>
      <c r="I15" s="163" t="s">
        <v>41</v>
      </c>
      <c r="J15" s="3">
        <v>350000</v>
      </c>
      <c r="K15" s="50" t="s">
        <v>66</v>
      </c>
      <c r="N15" s="93"/>
    </row>
    <row r="16" spans="2:14" ht="30.75" customHeight="1" x14ac:dyDescent="0.25">
      <c r="B16" s="163" t="s">
        <v>199</v>
      </c>
      <c r="C16" s="279" t="s">
        <v>183</v>
      </c>
      <c r="D16" s="279"/>
      <c r="E16" s="280" t="s">
        <v>20</v>
      </c>
      <c r="F16" s="280"/>
      <c r="G16" s="164" t="s">
        <v>196</v>
      </c>
      <c r="H16" s="309"/>
      <c r="I16" s="163" t="s">
        <v>42</v>
      </c>
      <c r="J16" s="3">
        <v>2000000</v>
      </c>
      <c r="K16" s="50" t="s">
        <v>62</v>
      </c>
    </row>
    <row r="17" spans="2:11" s="96" customFormat="1" ht="23.25" customHeight="1" x14ac:dyDescent="0.25">
      <c r="B17" s="285" t="s">
        <v>200</v>
      </c>
      <c r="C17" s="285"/>
      <c r="D17" s="285"/>
      <c r="E17" s="285"/>
      <c r="F17" s="285"/>
      <c r="G17" s="285"/>
      <c r="H17" s="285"/>
      <c r="I17" s="285"/>
      <c r="J17" s="53">
        <f>J18</f>
        <v>500000</v>
      </c>
      <c r="K17" s="122"/>
    </row>
    <row r="18" spans="2:11" ht="49.5" customHeight="1" x14ac:dyDescent="0.25">
      <c r="B18" s="163" t="s">
        <v>201</v>
      </c>
      <c r="C18" s="279" t="s">
        <v>202</v>
      </c>
      <c r="D18" s="279"/>
      <c r="E18" s="280" t="s">
        <v>203</v>
      </c>
      <c r="F18" s="280"/>
      <c r="G18" s="164" t="s">
        <v>196</v>
      </c>
      <c r="H18" s="5">
        <v>500000</v>
      </c>
      <c r="I18" s="163" t="s">
        <v>42</v>
      </c>
      <c r="J18" s="3">
        <v>500000</v>
      </c>
      <c r="K18" s="50" t="s">
        <v>62</v>
      </c>
    </row>
    <row r="19" spans="2:11" s="96" customFormat="1" ht="23.25" customHeight="1" x14ac:dyDescent="0.25">
      <c r="B19" s="285" t="s">
        <v>23</v>
      </c>
      <c r="C19" s="285"/>
      <c r="D19" s="285"/>
      <c r="E19" s="285"/>
      <c r="F19" s="285"/>
      <c r="G19" s="285"/>
      <c r="H19" s="285"/>
      <c r="I19" s="285"/>
      <c r="J19" s="53">
        <f>J20</f>
        <v>2200000</v>
      </c>
      <c r="K19" s="122"/>
    </row>
    <row r="20" spans="2:11" ht="49.5" customHeight="1" x14ac:dyDescent="0.25">
      <c r="B20" s="163" t="s">
        <v>9</v>
      </c>
      <c r="C20" s="279" t="s">
        <v>10</v>
      </c>
      <c r="D20" s="279"/>
      <c r="E20" s="280" t="s">
        <v>204</v>
      </c>
      <c r="F20" s="280"/>
      <c r="G20" s="164" t="s">
        <v>205</v>
      </c>
      <c r="H20" s="5">
        <v>13350000</v>
      </c>
      <c r="I20" s="163" t="s">
        <v>43</v>
      </c>
      <c r="J20" s="3">
        <v>2200000</v>
      </c>
      <c r="K20" s="50" t="s">
        <v>143</v>
      </c>
    </row>
    <row r="21" spans="2:11" ht="22.5" customHeight="1" x14ac:dyDescent="0.25">
      <c r="B21" s="285" t="s">
        <v>24</v>
      </c>
      <c r="C21" s="285"/>
      <c r="D21" s="285"/>
      <c r="E21" s="285"/>
      <c r="F21" s="285"/>
      <c r="G21" s="285"/>
      <c r="H21" s="285"/>
      <c r="I21" s="285"/>
      <c r="J21" s="53">
        <f>SUM(J22:J23)</f>
        <v>2200000</v>
      </c>
      <c r="K21" s="57"/>
    </row>
    <row r="22" spans="2:11" ht="45.75" customHeight="1" x14ac:dyDescent="0.25">
      <c r="B22" s="163" t="s">
        <v>57</v>
      </c>
      <c r="C22" s="279" t="s">
        <v>206</v>
      </c>
      <c r="D22" s="279"/>
      <c r="E22" s="280" t="s">
        <v>172</v>
      </c>
      <c r="F22" s="280"/>
      <c r="G22" s="164" t="s">
        <v>207</v>
      </c>
      <c r="H22" s="5">
        <v>6397000</v>
      </c>
      <c r="I22" s="163" t="s">
        <v>44</v>
      </c>
      <c r="J22" s="3">
        <v>500000</v>
      </c>
      <c r="K22" s="50" t="s">
        <v>178</v>
      </c>
    </row>
    <row r="23" spans="2:11" ht="48" customHeight="1" x14ac:dyDescent="0.25">
      <c r="B23" s="163" t="s">
        <v>208</v>
      </c>
      <c r="C23" s="279" t="s">
        <v>175</v>
      </c>
      <c r="D23" s="279"/>
      <c r="E23" s="280" t="s">
        <v>176</v>
      </c>
      <c r="F23" s="280"/>
      <c r="G23" s="164" t="s">
        <v>196</v>
      </c>
      <c r="H23" s="5">
        <v>1700000</v>
      </c>
      <c r="I23" s="163" t="s">
        <v>174</v>
      </c>
      <c r="J23" s="3">
        <v>1700000</v>
      </c>
      <c r="K23" s="50" t="s">
        <v>68</v>
      </c>
    </row>
    <row r="24" spans="2:11" ht="30.75" customHeight="1" x14ac:dyDescent="0.25">
      <c r="B24" s="281" t="s">
        <v>131</v>
      </c>
      <c r="C24" s="282"/>
      <c r="D24" s="282"/>
      <c r="E24" s="282"/>
      <c r="F24" s="282"/>
      <c r="G24" s="282"/>
      <c r="H24" s="282"/>
      <c r="I24" s="282"/>
      <c r="J24" s="64">
        <f>J25</f>
        <v>2000</v>
      </c>
      <c r="K24" s="57"/>
    </row>
    <row r="25" spans="2:11" ht="30.75" customHeight="1" x14ac:dyDescent="0.25">
      <c r="B25" s="61"/>
      <c r="C25" s="283"/>
      <c r="D25" s="283"/>
      <c r="E25" s="284" t="s">
        <v>21</v>
      </c>
      <c r="F25" s="284"/>
      <c r="G25" s="166" t="s">
        <v>196</v>
      </c>
      <c r="H25" s="62"/>
      <c r="I25" s="165" t="s">
        <v>132</v>
      </c>
      <c r="J25" s="63">
        <v>2000</v>
      </c>
      <c r="K25" s="50" t="s">
        <v>162</v>
      </c>
    </row>
    <row r="26" spans="2:11" ht="25.5" customHeight="1" x14ac:dyDescent="0.25">
      <c r="B26" s="65"/>
      <c r="C26" s="278"/>
      <c r="D26" s="278"/>
      <c r="E26" s="278"/>
      <c r="F26" s="278"/>
      <c r="G26" s="162"/>
      <c r="H26" s="66"/>
      <c r="I26" s="168" t="s">
        <v>46</v>
      </c>
      <c r="J26" s="55">
        <f>J21+J19+J5+J24+J17</f>
        <v>23900000</v>
      </c>
      <c r="K26" s="55"/>
    </row>
    <row r="27" spans="2:11" x14ac:dyDescent="0.25">
      <c r="B27" s="286" t="s">
        <v>163</v>
      </c>
      <c r="C27" s="286"/>
      <c r="D27" s="286"/>
      <c r="E27" s="286"/>
      <c r="F27" s="286"/>
      <c r="G27" s="286"/>
      <c r="H27" s="286"/>
      <c r="I27" s="286"/>
      <c r="J27" s="286"/>
      <c r="K27" s="286"/>
    </row>
    <row r="30" spans="2:11" x14ac:dyDescent="0.25">
      <c r="H30" s="97"/>
    </row>
  </sheetData>
  <mergeCells count="44">
    <mergeCell ref="B2:K2"/>
    <mergeCell ref="C4:D4"/>
    <mergeCell ref="E4:F4"/>
    <mergeCell ref="B5:I5"/>
    <mergeCell ref="C6:D6"/>
    <mergeCell ref="E6:F6"/>
    <mergeCell ref="C14:D14"/>
    <mergeCell ref="C7:D7"/>
    <mergeCell ref="E7:F7"/>
    <mergeCell ref="C8:D8"/>
    <mergeCell ref="E8:F8"/>
    <mergeCell ref="C9:D9"/>
    <mergeCell ref="E9:F9"/>
    <mergeCell ref="B21:I21"/>
    <mergeCell ref="E14:F14"/>
    <mergeCell ref="C15:D15"/>
    <mergeCell ref="E15:F15"/>
    <mergeCell ref="C16:D16"/>
    <mergeCell ref="E16:F16"/>
    <mergeCell ref="B17:I17"/>
    <mergeCell ref="H9:H16"/>
    <mergeCell ref="C10:D10"/>
    <mergeCell ref="E10:F10"/>
    <mergeCell ref="C11:D11"/>
    <mergeCell ref="E11:F11"/>
    <mergeCell ref="C12:D12"/>
    <mergeCell ref="E12:F12"/>
    <mergeCell ref="C13:D13"/>
    <mergeCell ref="E13:F13"/>
    <mergeCell ref="C18:D18"/>
    <mergeCell ref="E18:F18"/>
    <mergeCell ref="B19:I19"/>
    <mergeCell ref="C20:D20"/>
    <mergeCell ref="E20:F20"/>
    <mergeCell ref="C26:D26"/>
    <mergeCell ref="E26:F26"/>
    <mergeCell ref="B27:K27"/>
    <mergeCell ref="C22:D22"/>
    <mergeCell ref="E22:F22"/>
    <mergeCell ref="C23:D23"/>
    <mergeCell ref="E23:F23"/>
    <mergeCell ref="B24:I24"/>
    <mergeCell ref="C25:D25"/>
    <mergeCell ref="E25:F25"/>
  </mergeCells>
  <pageMargins left="0.51181102362204722" right="0.31496062992125984" top="0.35433070866141736" bottom="0.35433070866141736" header="0.31496062992125984" footer="0.31496062992125984"/>
  <pageSetup paperSize="9" scale="6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O30"/>
  <sheetViews>
    <sheetView topLeftCell="A10" zoomScale="80" zoomScaleNormal="80" workbookViewId="0">
      <selection activeCell="L39" sqref="L39"/>
    </sheetView>
  </sheetViews>
  <sheetFormatPr defaultColWidth="9.140625" defaultRowHeight="15" x14ac:dyDescent="0.25"/>
  <cols>
    <col min="1" max="2" width="3.5703125" style="1" customWidth="1"/>
    <col min="3" max="3" width="21.5703125" style="1" customWidth="1"/>
    <col min="4" max="4" width="9.140625" style="1"/>
    <col min="5" max="5" width="22.28515625" style="1" customWidth="1"/>
    <col min="6" max="6" width="9.140625" style="1"/>
    <col min="7" max="7" width="26.42578125" style="1" customWidth="1"/>
    <col min="8" max="8" width="18.140625" style="1" customWidth="1"/>
    <col min="9" max="9" width="18.5703125" style="1" customWidth="1"/>
    <col min="10" max="10" width="34.7109375" style="1" customWidth="1"/>
    <col min="11" max="11" width="19.5703125" style="1" customWidth="1"/>
    <col min="12" max="12" width="47.7109375" style="6" customWidth="1"/>
    <col min="13" max="13" width="22.42578125" style="1" customWidth="1"/>
    <col min="14" max="14" width="9.140625" style="1"/>
    <col min="15" max="15" width="10.140625" style="1" bestFit="1" customWidth="1"/>
    <col min="16" max="16384" width="9.140625" style="1"/>
  </cols>
  <sheetData>
    <row r="3" spans="3:15" ht="20.25" customHeight="1" x14ac:dyDescent="0.25">
      <c r="C3" s="287" t="s">
        <v>225</v>
      </c>
      <c r="D3" s="287"/>
      <c r="E3" s="287"/>
      <c r="F3" s="287"/>
      <c r="G3" s="287"/>
      <c r="H3" s="287"/>
      <c r="I3" s="287"/>
      <c r="J3" s="287"/>
      <c r="K3" s="287"/>
      <c r="L3" s="287"/>
    </row>
    <row r="5" spans="3:15" ht="44.25" customHeight="1" x14ac:dyDescent="0.25">
      <c r="C5" s="171" t="s">
        <v>0</v>
      </c>
      <c r="D5" s="288" t="s">
        <v>1</v>
      </c>
      <c r="E5" s="288"/>
      <c r="F5" s="288" t="s">
        <v>2</v>
      </c>
      <c r="G5" s="288"/>
      <c r="H5" s="171" t="s">
        <v>27</v>
      </c>
      <c r="I5" s="171" t="s">
        <v>52</v>
      </c>
      <c r="J5" s="171" t="s">
        <v>28</v>
      </c>
      <c r="K5" s="171" t="s">
        <v>226</v>
      </c>
      <c r="L5" s="171" t="s">
        <v>25</v>
      </c>
    </row>
    <row r="6" spans="3:15" s="96" customFormat="1" ht="18.75" customHeight="1" x14ac:dyDescent="0.25">
      <c r="C6" s="289" t="s">
        <v>22</v>
      </c>
      <c r="D6" s="289"/>
      <c r="E6" s="289"/>
      <c r="F6" s="289"/>
      <c r="G6" s="289"/>
      <c r="H6" s="289"/>
      <c r="I6" s="289"/>
      <c r="J6" s="289"/>
      <c r="K6" s="52">
        <f>SUM(K7:K18)</f>
        <v>24700000</v>
      </c>
      <c r="L6" s="58"/>
    </row>
    <row r="7" spans="3:15" s="4" customFormat="1" ht="30.75" customHeight="1" x14ac:dyDescent="0.25">
      <c r="C7" s="172" t="s">
        <v>214</v>
      </c>
      <c r="D7" s="279" t="s">
        <v>180</v>
      </c>
      <c r="E7" s="279"/>
      <c r="F7" s="280" t="s">
        <v>12</v>
      </c>
      <c r="G7" s="280"/>
      <c r="H7" s="173" t="s">
        <v>215</v>
      </c>
      <c r="I7" s="5">
        <v>200000</v>
      </c>
      <c r="J7" s="172" t="s">
        <v>29</v>
      </c>
      <c r="K7" s="3">
        <v>200000</v>
      </c>
      <c r="L7" s="50" t="s">
        <v>62</v>
      </c>
    </row>
    <row r="8" spans="3:15" s="4" customFormat="1" ht="47.25" customHeight="1" x14ac:dyDescent="0.25">
      <c r="C8" s="172" t="s">
        <v>4</v>
      </c>
      <c r="D8" s="279" t="s">
        <v>181</v>
      </c>
      <c r="E8" s="279"/>
      <c r="F8" s="280" t="s">
        <v>197</v>
      </c>
      <c r="G8" s="280"/>
      <c r="H8" s="173" t="s">
        <v>216</v>
      </c>
      <c r="I8" s="5">
        <v>10000000</v>
      </c>
      <c r="J8" s="172" t="s">
        <v>30</v>
      </c>
      <c r="K8" s="3">
        <v>500000</v>
      </c>
      <c r="L8" s="50" t="s">
        <v>62</v>
      </c>
    </row>
    <row r="9" spans="3:15" s="4" customFormat="1" ht="93" customHeight="1" x14ac:dyDescent="0.25">
      <c r="C9" s="172" t="s">
        <v>7</v>
      </c>
      <c r="D9" s="279" t="s">
        <v>182</v>
      </c>
      <c r="E9" s="279"/>
      <c r="F9" s="326" t="s">
        <v>234</v>
      </c>
      <c r="G9" s="327"/>
      <c r="H9" s="173" t="s">
        <v>216</v>
      </c>
      <c r="I9" s="5">
        <v>115000000</v>
      </c>
      <c r="J9" s="172" t="s">
        <v>31</v>
      </c>
      <c r="K9" s="3">
        <v>17000000</v>
      </c>
      <c r="L9" s="50" t="s">
        <v>62</v>
      </c>
    </row>
    <row r="10" spans="3:15" s="4" customFormat="1" ht="30.75" customHeight="1" x14ac:dyDescent="0.25">
      <c r="C10" s="172" t="s">
        <v>217</v>
      </c>
      <c r="D10" s="279" t="s">
        <v>183</v>
      </c>
      <c r="E10" s="279"/>
      <c r="F10" s="280" t="s">
        <v>13</v>
      </c>
      <c r="G10" s="280"/>
      <c r="H10" s="173" t="s">
        <v>215</v>
      </c>
      <c r="I10" s="335">
        <f>K10+K11+K12+K13+K14+K15+K16+K17+K18</f>
        <v>7000000</v>
      </c>
      <c r="J10" s="172" t="s">
        <v>32</v>
      </c>
      <c r="K10" s="3">
        <v>500000</v>
      </c>
      <c r="L10" s="50" t="s">
        <v>63</v>
      </c>
    </row>
    <row r="11" spans="3:15" s="4" customFormat="1" ht="30.75" customHeight="1" x14ac:dyDescent="0.25">
      <c r="C11" s="172" t="s">
        <v>217</v>
      </c>
      <c r="D11" s="279" t="s">
        <v>183</v>
      </c>
      <c r="E11" s="279"/>
      <c r="F11" s="280" t="s">
        <v>209</v>
      </c>
      <c r="G11" s="280"/>
      <c r="H11" s="173" t="s">
        <v>215</v>
      </c>
      <c r="I11" s="336"/>
      <c r="J11" s="172" t="s">
        <v>210</v>
      </c>
      <c r="K11" s="3">
        <v>100000</v>
      </c>
      <c r="L11" s="50" t="s">
        <v>63</v>
      </c>
    </row>
    <row r="12" spans="3:15" s="4" customFormat="1" ht="30.75" customHeight="1" x14ac:dyDescent="0.25">
      <c r="C12" s="172" t="s">
        <v>217</v>
      </c>
      <c r="D12" s="279" t="s">
        <v>183</v>
      </c>
      <c r="E12" s="279"/>
      <c r="F12" s="280" t="s">
        <v>14</v>
      </c>
      <c r="G12" s="280"/>
      <c r="H12" s="173" t="s">
        <v>215</v>
      </c>
      <c r="I12" s="336"/>
      <c r="J12" s="172" t="s">
        <v>33</v>
      </c>
      <c r="K12" s="3">
        <v>700000</v>
      </c>
      <c r="L12" s="50" t="s">
        <v>228</v>
      </c>
    </row>
    <row r="13" spans="3:15" s="4" customFormat="1" ht="30.75" customHeight="1" x14ac:dyDescent="0.25">
      <c r="C13" s="172" t="s">
        <v>217</v>
      </c>
      <c r="D13" s="279" t="s">
        <v>183</v>
      </c>
      <c r="E13" s="279"/>
      <c r="F13" s="280" t="s">
        <v>15</v>
      </c>
      <c r="G13" s="280"/>
      <c r="H13" s="173" t="s">
        <v>215</v>
      </c>
      <c r="I13" s="336"/>
      <c r="J13" s="172" t="s">
        <v>37</v>
      </c>
      <c r="K13" s="3">
        <v>400000</v>
      </c>
      <c r="L13" s="50" t="s">
        <v>227</v>
      </c>
    </row>
    <row r="14" spans="3:15" s="4" customFormat="1" ht="54" customHeight="1" x14ac:dyDescent="0.25">
      <c r="C14" s="172" t="s">
        <v>217</v>
      </c>
      <c r="D14" s="279" t="s">
        <v>183</v>
      </c>
      <c r="E14" s="279"/>
      <c r="F14" s="280" t="s">
        <v>222</v>
      </c>
      <c r="G14" s="280"/>
      <c r="H14" s="173" t="s">
        <v>215</v>
      </c>
      <c r="I14" s="336"/>
      <c r="J14" s="172" t="s">
        <v>34</v>
      </c>
      <c r="K14" s="3">
        <v>1200000</v>
      </c>
      <c r="L14" s="50" t="s">
        <v>179</v>
      </c>
    </row>
    <row r="15" spans="3:15" s="4" customFormat="1" ht="30.75" customHeight="1" x14ac:dyDescent="0.25">
      <c r="C15" s="172" t="s">
        <v>217</v>
      </c>
      <c r="D15" s="279" t="s">
        <v>183</v>
      </c>
      <c r="E15" s="279"/>
      <c r="F15" s="280" t="s">
        <v>223</v>
      </c>
      <c r="G15" s="280"/>
      <c r="H15" s="173" t="s">
        <v>215</v>
      </c>
      <c r="I15" s="336"/>
      <c r="J15" s="172" t="s">
        <v>40</v>
      </c>
      <c r="K15" s="3">
        <v>250000</v>
      </c>
      <c r="L15" s="50" t="s">
        <v>66</v>
      </c>
    </row>
    <row r="16" spans="3:15" s="4" customFormat="1" ht="30.75" customHeight="1" x14ac:dyDescent="0.25">
      <c r="C16" s="172" t="s">
        <v>217</v>
      </c>
      <c r="D16" s="279" t="s">
        <v>183</v>
      </c>
      <c r="E16" s="279"/>
      <c r="F16" s="280" t="s">
        <v>224</v>
      </c>
      <c r="G16" s="280"/>
      <c r="H16" s="173" t="s">
        <v>215</v>
      </c>
      <c r="I16" s="336"/>
      <c r="J16" s="172" t="s">
        <v>41</v>
      </c>
      <c r="K16" s="3">
        <v>350000</v>
      </c>
      <c r="L16" s="50" t="s">
        <v>66</v>
      </c>
      <c r="O16" s="93"/>
    </row>
    <row r="17" spans="3:12" ht="30.75" customHeight="1" x14ac:dyDescent="0.25">
      <c r="C17" s="172" t="s">
        <v>217</v>
      </c>
      <c r="D17" s="279" t="s">
        <v>183</v>
      </c>
      <c r="E17" s="279"/>
      <c r="F17" s="280" t="s">
        <v>20</v>
      </c>
      <c r="G17" s="280"/>
      <c r="H17" s="173" t="s">
        <v>215</v>
      </c>
      <c r="I17" s="336"/>
      <c r="J17" s="172" t="s">
        <v>42</v>
      </c>
      <c r="K17" s="3">
        <v>2000000</v>
      </c>
      <c r="L17" s="50" t="s">
        <v>62</v>
      </c>
    </row>
    <row r="18" spans="3:12" ht="30.75" customHeight="1" x14ac:dyDescent="0.25">
      <c r="C18" s="172" t="s">
        <v>217</v>
      </c>
      <c r="D18" s="279" t="s">
        <v>183</v>
      </c>
      <c r="E18" s="279"/>
      <c r="F18" s="280" t="s">
        <v>221</v>
      </c>
      <c r="G18" s="280"/>
      <c r="H18" s="173" t="s">
        <v>215</v>
      </c>
      <c r="I18" s="337"/>
      <c r="J18" s="172" t="s">
        <v>220</v>
      </c>
      <c r="K18" s="3">
        <v>1500000</v>
      </c>
      <c r="L18" s="50" t="s">
        <v>62</v>
      </c>
    </row>
    <row r="19" spans="3:12" s="96" customFormat="1" ht="23.25" customHeight="1" x14ac:dyDescent="0.25">
      <c r="C19" s="328" t="s">
        <v>23</v>
      </c>
      <c r="D19" s="329"/>
      <c r="E19" s="329"/>
      <c r="F19" s="329"/>
      <c r="G19" s="329"/>
      <c r="H19" s="329"/>
      <c r="I19" s="329"/>
      <c r="J19" s="330"/>
      <c r="K19" s="53">
        <f>K20</f>
        <v>3000000</v>
      </c>
      <c r="L19" s="122"/>
    </row>
    <row r="20" spans="3:12" ht="49.5" customHeight="1" x14ac:dyDescent="0.25">
      <c r="C20" s="172" t="s">
        <v>9</v>
      </c>
      <c r="D20" s="279" t="s">
        <v>10</v>
      </c>
      <c r="E20" s="279"/>
      <c r="F20" s="280" t="s">
        <v>204</v>
      </c>
      <c r="G20" s="280"/>
      <c r="H20" s="173" t="s">
        <v>205</v>
      </c>
      <c r="I20" s="5">
        <v>8000000</v>
      </c>
      <c r="J20" s="172" t="s">
        <v>43</v>
      </c>
      <c r="K20" s="3">
        <v>3000000</v>
      </c>
      <c r="L20" s="50" t="s">
        <v>143</v>
      </c>
    </row>
    <row r="21" spans="3:12" ht="22.5" customHeight="1" x14ac:dyDescent="0.25">
      <c r="C21" s="328" t="s">
        <v>24</v>
      </c>
      <c r="D21" s="329"/>
      <c r="E21" s="329"/>
      <c r="F21" s="329"/>
      <c r="G21" s="329"/>
      <c r="H21" s="329"/>
      <c r="I21" s="329"/>
      <c r="J21" s="330"/>
      <c r="K21" s="53">
        <f>SUM(K22:K23)</f>
        <v>2400000</v>
      </c>
      <c r="L21" s="57"/>
    </row>
    <row r="22" spans="3:12" ht="45.75" customHeight="1" x14ac:dyDescent="0.25">
      <c r="C22" s="172" t="s">
        <v>57</v>
      </c>
      <c r="D22" s="279" t="s">
        <v>206</v>
      </c>
      <c r="E22" s="279"/>
      <c r="F22" s="280" t="s">
        <v>172</v>
      </c>
      <c r="G22" s="280"/>
      <c r="H22" s="173" t="s">
        <v>218</v>
      </c>
      <c r="I22" s="5">
        <v>7280000</v>
      </c>
      <c r="J22" s="172" t="s">
        <v>44</v>
      </c>
      <c r="K22" s="3">
        <v>500000</v>
      </c>
      <c r="L22" s="50" t="s">
        <v>178</v>
      </c>
    </row>
    <row r="23" spans="3:12" ht="48" customHeight="1" x14ac:dyDescent="0.25">
      <c r="C23" s="172" t="s">
        <v>219</v>
      </c>
      <c r="D23" s="279" t="s">
        <v>229</v>
      </c>
      <c r="E23" s="279"/>
      <c r="F23" s="280" t="s">
        <v>176</v>
      </c>
      <c r="G23" s="280"/>
      <c r="H23" s="173" t="s">
        <v>215</v>
      </c>
      <c r="I23" s="5">
        <v>1900000</v>
      </c>
      <c r="J23" s="172" t="s">
        <v>45</v>
      </c>
      <c r="K23" s="3">
        <v>1900000</v>
      </c>
      <c r="L23" s="50" t="s">
        <v>68</v>
      </c>
    </row>
    <row r="24" spans="3:12" ht="30.75" customHeight="1" x14ac:dyDescent="0.25">
      <c r="C24" s="281" t="s">
        <v>131</v>
      </c>
      <c r="D24" s="282"/>
      <c r="E24" s="282"/>
      <c r="F24" s="282"/>
      <c r="G24" s="282"/>
      <c r="H24" s="282"/>
      <c r="I24" s="282"/>
      <c r="J24" s="325"/>
      <c r="K24" s="64">
        <f>K25</f>
        <v>300000</v>
      </c>
      <c r="L24" s="57"/>
    </row>
    <row r="25" spans="3:12" ht="30.75" customHeight="1" x14ac:dyDescent="0.25">
      <c r="C25" s="61"/>
      <c r="D25" s="283"/>
      <c r="E25" s="283"/>
      <c r="F25" s="284" t="s">
        <v>21</v>
      </c>
      <c r="G25" s="284"/>
      <c r="H25" s="176" t="s">
        <v>215</v>
      </c>
      <c r="I25" s="62"/>
      <c r="J25" s="175" t="s">
        <v>132</v>
      </c>
      <c r="K25" s="63">
        <v>300000</v>
      </c>
      <c r="L25" s="50" t="s">
        <v>162</v>
      </c>
    </row>
    <row r="26" spans="3:12" ht="30.75" customHeight="1" x14ac:dyDescent="0.25">
      <c r="C26" s="281" t="s">
        <v>230</v>
      </c>
      <c r="D26" s="282"/>
      <c r="E26" s="282"/>
      <c r="F26" s="282"/>
      <c r="G26" s="282"/>
      <c r="H26" s="282"/>
      <c r="I26" s="282"/>
      <c r="J26" s="325"/>
      <c r="K26" s="64">
        <f>K27</f>
        <v>73000</v>
      </c>
      <c r="L26" s="57"/>
    </row>
    <row r="27" spans="3:12" ht="30.75" customHeight="1" x14ac:dyDescent="0.25">
      <c r="C27" s="61"/>
      <c r="D27" s="178"/>
      <c r="E27" s="179"/>
      <c r="F27" s="333"/>
      <c r="G27" s="334"/>
      <c r="H27" s="176" t="s">
        <v>215</v>
      </c>
      <c r="I27" s="62"/>
      <c r="J27" s="175"/>
      <c r="K27" s="63">
        <v>73000</v>
      </c>
      <c r="L27" s="50" t="s">
        <v>63</v>
      </c>
    </row>
    <row r="28" spans="3:12" ht="25.5" customHeight="1" x14ac:dyDescent="0.25">
      <c r="C28" s="65"/>
      <c r="D28" s="338"/>
      <c r="E28" s="339"/>
      <c r="F28" s="338"/>
      <c r="G28" s="339"/>
      <c r="H28" s="174"/>
      <c r="I28" s="66"/>
      <c r="J28" s="177" t="s">
        <v>46</v>
      </c>
      <c r="K28" s="55">
        <f>K21+K19+K6+K24</f>
        <v>30400000</v>
      </c>
      <c r="L28" s="55"/>
    </row>
    <row r="29" spans="3:12" ht="15" customHeight="1" x14ac:dyDescent="0.25">
      <c r="C29" s="331" t="s">
        <v>231</v>
      </c>
      <c r="D29" s="331"/>
      <c r="E29" s="331"/>
      <c r="F29" s="331"/>
      <c r="G29" s="331"/>
      <c r="H29" s="331"/>
      <c r="I29" s="331"/>
      <c r="J29" s="331"/>
      <c r="K29" s="331"/>
      <c r="L29" s="331"/>
    </row>
    <row r="30" spans="3:12" x14ac:dyDescent="0.25">
      <c r="C30" s="332" t="s">
        <v>232</v>
      </c>
      <c r="D30" s="332"/>
      <c r="E30" s="332"/>
      <c r="F30" s="332"/>
      <c r="G30" s="332"/>
      <c r="H30" s="332"/>
      <c r="I30" s="332"/>
      <c r="J30" s="332"/>
    </row>
  </sheetData>
  <mergeCells count="46">
    <mergeCell ref="C29:L29"/>
    <mergeCell ref="C30:J30"/>
    <mergeCell ref="F27:G27"/>
    <mergeCell ref="D18:E18"/>
    <mergeCell ref="F18:G18"/>
    <mergeCell ref="I10:I18"/>
    <mergeCell ref="D28:E28"/>
    <mergeCell ref="F28:G28"/>
    <mergeCell ref="F12:G12"/>
    <mergeCell ref="D13:E13"/>
    <mergeCell ref="F13:G13"/>
    <mergeCell ref="F17:G17"/>
    <mergeCell ref="C26:J26"/>
    <mergeCell ref="C19:J19"/>
    <mergeCell ref="D20:E20"/>
    <mergeCell ref="F20:G20"/>
    <mergeCell ref="C21:J21"/>
    <mergeCell ref="D22:E22"/>
    <mergeCell ref="F22:G22"/>
    <mergeCell ref="D23:E23"/>
    <mergeCell ref="F23:G23"/>
    <mergeCell ref="C24:J24"/>
    <mergeCell ref="D25:E25"/>
    <mergeCell ref="F25:G25"/>
    <mergeCell ref="D17:E17"/>
    <mergeCell ref="D8:E8"/>
    <mergeCell ref="F8:G8"/>
    <mergeCell ref="D9:E9"/>
    <mergeCell ref="F9:G9"/>
    <mergeCell ref="D10:E10"/>
    <mergeCell ref="F10:G10"/>
    <mergeCell ref="D14:E14"/>
    <mergeCell ref="F14:G14"/>
    <mergeCell ref="D15:E15"/>
    <mergeCell ref="F15:G15"/>
    <mergeCell ref="D16:E16"/>
    <mergeCell ref="F16:G16"/>
    <mergeCell ref="D11:E11"/>
    <mergeCell ref="F11:G11"/>
    <mergeCell ref="D12:E12"/>
    <mergeCell ref="C3:L3"/>
    <mergeCell ref="D5:E5"/>
    <mergeCell ref="F5:G5"/>
    <mergeCell ref="C6:J6"/>
    <mergeCell ref="D7:E7"/>
    <mergeCell ref="F7:G7"/>
  </mergeCells>
  <printOptions horizontalCentered="1"/>
  <pageMargins left="0.23622047244094491" right="0.23622047244094491" top="0.74803149606299213" bottom="0.74803149606299213" header="0.31496062992125984" footer="0.31496062992125984"/>
  <pageSetup paperSize="9" scale="52"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S38"/>
  <sheetViews>
    <sheetView topLeftCell="B16" zoomScale="80" zoomScaleNormal="80" workbookViewId="0">
      <selection activeCell="J25" sqref="J25"/>
    </sheetView>
  </sheetViews>
  <sheetFormatPr defaultColWidth="9.140625" defaultRowHeight="15" x14ac:dyDescent="0.25"/>
  <cols>
    <col min="1" max="2" width="3.5703125" style="1" customWidth="1"/>
    <col min="3" max="3" width="21.5703125" style="1" customWidth="1"/>
    <col min="4" max="4" width="9.140625" style="1"/>
    <col min="5" max="5" width="22.28515625" style="1" customWidth="1"/>
    <col min="6" max="6" width="9.140625" style="1"/>
    <col min="7" max="7" width="26.42578125" style="1" customWidth="1"/>
    <col min="8" max="8" width="18.140625" style="1" customWidth="1"/>
    <col min="9" max="9" width="18.5703125" style="1" customWidth="1"/>
    <col min="10" max="10" width="34.7109375" style="1" customWidth="1"/>
    <col min="11" max="11" width="19.5703125" style="1" customWidth="1"/>
    <col min="12" max="12" width="47.7109375" style="6" customWidth="1"/>
    <col min="13" max="13" width="22.42578125" style="1" customWidth="1"/>
    <col min="14" max="14" width="9.140625" style="1"/>
    <col min="15" max="16" width="13" style="1" bestFit="1" customWidth="1"/>
    <col min="17" max="17" width="14.28515625" style="1" customWidth="1"/>
    <col min="18" max="18" width="13" style="1" bestFit="1" customWidth="1"/>
    <col min="19" max="19" width="12.7109375" style="1" customWidth="1"/>
    <col min="20" max="16384" width="9.140625" style="1"/>
  </cols>
  <sheetData>
    <row r="3" spans="3:19" ht="20.25" customHeight="1" x14ac:dyDescent="0.25">
      <c r="C3" s="344" t="s">
        <v>225</v>
      </c>
      <c r="D3" s="344"/>
      <c r="E3" s="344"/>
      <c r="F3" s="344"/>
      <c r="G3" s="344"/>
      <c r="H3" s="344"/>
      <c r="I3" s="344"/>
      <c r="J3" s="344"/>
      <c r="K3" s="344"/>
      <c r="L3" s="344"/>
      <c r="M3" s="344"/>
      <c r="N3" s="344"/>
      <c r="O3" s="344"/>
      <c r="P3" s="344"/>
      <c r="Q3" s="344"/>
      <c r="R3" s="344"/>
      <c r="S3" s="344"/>
    </row>
    <row r="5" spans="3:19" ht="44.25" customHeight="1" x14ac:dyDescent="0.25">
      <c r="C5" s="209" t="s">
        <v>0</v>
      </c>
      <c r="D5" s="340" t="s">
        <v>1</v>
      </c>
      <c r="E5" s="340"/>
      <c r="F5" s="340" t="s">
        <v>2</v>
      </c>
      <c r="G5" s="340"/>
      <c r="H5" s="209" t="s">
        <v>27</v>
      </c>
      <c r="I5" s="209" t="s">
        <v>52</v>
      </c>
      <c r="J5" s="209" t="s">
        <v>28</v>
      </c>
      <c r="K5" s="209" t="s">
        <v>226</v>
      </c>
      <c r="L5" s="209" t="s">
        <v>25</v>
      </c>
      <c r="M5" s="191" t="s">
        <v>108</v>
      </c>
      <c r="N5" s="191" t="s">
        <v>109</v>
      </c>
      <c r="O5" s="191" t="s">
        <v>110</v>
      </c>
      <c r="P5" s="191" t="s">
        <v>111</v>
      </c>
      <c r="Q5" s="191" t="s">
        <v>250</v>
      </c>
      <c r="R5" s="191" t="s">
        <v>113</v>
      </c>
      <c r="S5" s="191" t="s">
        <v>114</v>
      </c>
    </row>
    <row r="6" spans="3:19" s="96" customFormat="1" ht="18.75" customHeight="1" x14ac:dyDescent="0.25">
      <c r="C6" s="341" t="s">
        <v>22</v>
      </c>
      <c r="D6" s="341"/>
      <c r="E6" s="341"/>
      <c r="F6" s="341"/>
      <c r="G6" s="341"/>
      <c r="H6" s="341"/>
      <c r="I6" s="341"/>
      <c r="J6" s="341"/>
      <c r="K6" s="180">
        <f>SUM(K7:K18)</f>
        <v>24700000</v>
      </c>
      <c r="L6" s="181"/>
      <c r="M6" s="180">
        <f>SUM(M7:M18)</f>
        <v>24700000</v>
      </c>
      <c r="N6" s="182">
        <f t="shared" ref="N6" si="0">SUM(N7:N17)</f>
        <v>0</v>
      </c>
      <c r="O6" s="183">
        <f>SUM(O7:O18)</f>
        <v>5887000</v>
      </c>
      <c r="P6" s="183">
        <f>SUM(P7:P18)</f>
        <v>30587000</v>
      </c>
      <c r="Q6" s="183">
        <f>SUM(Q7:Q18)</f>
        <v>22867879</v>
      </c>
      <c r="R6" s="183">
        <f>SUM(R7:R18)</f>
        <v>7719121</v>
      </c>
      <c r="S6" s="184">
        <f t="shared" ref="S6:S28" si="1">(Q6*100)/P6</f>
        <v>74.763392944715079</v>
      </c>
    </row>
    <row r="7" spans="3:19" s="4" customFormat="1" ht="30.75" customHeight="1" x14ac:dyDescent="0.25">
      <c r="C7" s="205" t="s">
        <v>214</v>
      </c>
      <c r="D7" s="279" t="s">
        <v>180</v>
      </c>
      <c r="E7" s="279"/>
      <c r="F7" s="280" t="s">
        <v>12</v>
      </c>
      <c r="G7" s="280"/>
      <c r="H7" s="206" t="s">
        <v>215</v>
      </c>
      <c r="I7" s="5">
        <v>200000</v>
      </c>
      <c r="J7" s="205" t="s">
        <v>29</v>
      </c>
      <c r="K7" s="3">
        <v>200000</v>
      </c>
      <c r="L7" s="50" t="s">
        <v>62</v>
      </c>
      <c r="M7" s="3">
        <v>200000</v>
      </c>
      <c r="N7" s="69"/>
      <c r="O7" s="71">
        <f>322000+280000</f>
        <v>602000</v>
      </c>
      <c r="P7" s="71">
        <f>K7-N7+O7</f>
        <v>802000</v>
      </c>
      <c r="Q7" s="198">
        <v>788712</v>
      </c>
      <c r="R7" s="71">
        <f t="shared" ref="R7:R26" si="2">P7-Q7</f>
        <v>13288</v>
      </c>
      <c r="S7" s="72">
        <f t="shared" si="1"/>
        <v>98.343142144638406</v>
      </c>
    </row>
    <row r="8" spans="3:19" s="4" customFormat="1" ht="47.25" customHeight="1" x14ac:dyDescent="0.25">
      <c r="C8" s="205" t="s">
        <v>4</v>
      </c>
      <c r="D8" s="279" t="s">
        <v>181</v>
      </c>
      <c r="E8" s="279"/>
      <c r="F8" s="280" t="s">
        <v>197</v>
      </c>
      <c r="G8" s="280"/>
      <c r="H8" s="206" t="s">
        <v>216</v>
      </c>
      <c r="I8" s="5">
        <v>10000000</v>
      </c>
      <c r="J8" s="205" t="s">
        <v>30</v>
      </c>
      <c r="K8" s="3">
        <v>500000</v>
      </c>
      <c r="L8" s="50" t="s">
        <v>62</v>
      </c>
      <c r="M8" s="3">
        <v>500000</v>
      </c>
      <c r="N8" s="69"/>
      <c r="O8" s="71">
        <v>1440000</v>
      </c>
      <c r="P8" s="71">
        <f t="shared" ref="P8:P18" si="3">K8-N8+O8</f>
        <v>1940000</v>
      </c>
      <c r="Q8" s="198">
        <v>2273693</v>
      </c>
      <c r="R8" s="71">
        <f t="shared" si="2"/>
        <v>-333693</v>
      </c>
      <c r="S8" s="72">
        <f t="shared" si="1"/>
        <v>117.20067010309279</v>
      </c>
    </row>
    <row r="9" spans="3:19" s="4" customFormat="1" ht="93" customHeight="1" x14ac:dyDescent="0.25">
      <c r="C9" s="205" t="s">
        <v>7</v>
      </c>
      <c r="D9" s="279" t="s">
        <v>182</v>
      </c>
      <c r="E9" s="279"/>
      <c r="F9" s="326" t="s">
        <v>234</v>
      </c>
      <c r="G9" s="327"/>
      <c r="H9" s="206" t="s">
        <v>216</v>
      </c>
      <c r="I9" s="5">
        <v>115000000</v>
      </c>
      <c r="J9" s="205" t="s">
        <v>31</v>
      </c>
      <c r="K9" s="3">
        <v>17000000</v>
      </c>
      <c r="L9" s="50" t="s">
        <v>62</v>
      </c>
      <c r="M9" s="3">
        <v>17000000</v>
      </c>
      <c r="N9" s="69"/>
      <c r="O9" s="71"/>
      <c r="P9" s="71">
        <f t="shared" si="3"/>
        <v>17000000</v>
      </c>
      <c r="Q9" s="198">
        <v>13222334</v>
      </c>
      <c r="R9" s="71">
        <f t="shared" si="2"/>
        <v>3777666</v>
      </c>
      <c r="S9" s="72">
        <f t="shared" si="1"/>
        <v>77.778435294117642</v>
      </c>
    </row>
    <row r="10" spans="3:19" s="4" customFormat="1" ht="30.75" customHeight="1" x14ac:dyDescent="0.25">
      <c r="C10" s="205" t="s">
        <v>217</v>
      </c>
      <c r="D10" s="279" t="s">
        <v>183</v>
      </c>
      <c r="E10" s="279"/>
      <c r="F10" s="280" t="s">
        <v>13</v>
      </c>
      <c r="G10" s="280"/>
      <c r="H10" s="206" t="s">
        <v>215</v>
      </c>
      <c r="I10" s="335">
        <v>11000000</v>
      </c>
      <c r="J10" s="205" t="s">
        <v>32</v>
      </c>
      <c r="K10" s="3">
        <v>500000</v>
      </c>
      <c r="L10" s="50" t="s">
        <v>63</v>
      </c>
      <c r="M10" s="3">
        <v>500000</v>
      </c>
      <c r="N10" s="69"/>
      <c r="O10" s="71"/>
      <c r="P10" s="71">
        <f t="shared" si="3"/>
        <v>500000</v>
      </c>
      <c r="Q10" s="198">
        <v>554354</v>
      </c>
      <c r="R10" s="71">
        <f t="shared" si="2"/>
        <v>-54354</v>
      </c>
      <c r="S10" s="72">
        <f t="shared" si="1"/>
        <v>110.8708</v>
      </c>
    </row>
    <row r="11" spans="3:19" s="4" customFormat="1" ht="30.75" customHeight="1" x14ac:dyDescent="0.25">
      <c r="C11" s="205" t="s">
        <v>217</v>
      </c>
      <c r="D11" s="279" t="s">
        <v>183</v>
      </c>
      <c r="E11" s="279"/>
      <c r="F11" s="280" t="s">
        <v>209</v>
      </c>
      <c r="G11" s="280"/>
      <c r="H11" s="206" t="s">
        <v>215</v>
      </c>
      <c r="I11" s="336"/>
      <c r="J11" s="205" t="s">
        <v>210</v>
      </c>
      <c r="K11" s="3">
        <v>100000</v>
      </c>
      <c r="L11" s="50" t="s">
        <v>63</v>
      </c>
      <c r="M11" s="3">
        <v>100000</v>
      </c>
      <c r="N11" s="69"/>
      <c r="O11" s="71"/>
      <c r="P11" s="71">
        <f t="shared" si="3"/>
        <v>100000</v>
      </c>
      <c r="Q11" s="213">
        <v>203215</v>
      </c>
      <c r="R11" s="71">
        <f t="shared" si="2"/>
        <v>-103215</v>
      </c>
      <c r="S11" s="72">
        <f t="shared" si="1"/>
        <v>203.215</v>
      </c>
    </row>
    <row r="12" spans="3:19" s="4" customFormat="1" ht="30.75" customHeight="1" x14ac:dyDescent="0.25">
      <c r="C12" s="205" t="s">
        <v>217</v>
      </c>
      <c r="D12" s="279" t="s">
        <v>183</v>
      </c>
      <c r="E12" s="279"/>
      <c r="F12" s="280" t="s">
        <v>14</v>
      </c>
      <c r="G12" s="280"/>
      <c r="H12" s="206" t="s">
        <v>215</v>
      </c>
      <c r="I12" s="336"/>
      <c r="J12" s="205" t="s">
        <v>33</v>
      </c>
      <c r="K12" s="3">
        <v>700000</v>
      </c>
      <c r="L12" s="50" t="s">
        <v>228</v>
      </c>
      <c r="M12" s="3">
        <v>700000</v>
      </c>
      <c r="N12" s="69"/>
      <c r="O12" s="71"/>
      <c r="P12" s="71">
        <f t="shared" si="3"/>
        <v>700000</v>
      </c>
      <c r="Q12" s="198">
        <v>715032</v>
      </c>
      <c r="R12" s="71">
        <f t="shared" si="2"/>
        <v>-15032</v>
      </c>
      <c r="S12" s="72">
        <f t="shared" si="1"/>
        <v>102.14742857142858</v>
      </c>
    </row>
    <row r="13" spans="3:19" s="4" customFormat="1" ht="30.75" customHeight="1" x14ac:dyDescent="0.25">
      <c r="C13" s="205" t="s">
        <v>217</v>
      </c>
      <c r="D13" s="279" t="s">
        <v>183</v>
      </c>
      <c r="E13" s="279"/>
      <c r="F13" s="280" t="s">
        <v>15</v>
      </c>
      <c r="G13" s="280"/>
      <c r="H13" s="206" t="s">
        <v>215</v>
      </c>
      <c r="I13" s="336"/>
      <c r="J13" s="205" t="s">
        <v>37</v>
      </c>
      <c r="K13" s="3">
        <v>400000</v>
      </c>
      <c r="L13" s="50" t="s">
        <v>227</v>
      </c>
      <c r="M13" s="3">
        <v>400000</v>
      </c>
      <c r="N13" s="69"/>
      <c r="O13" s="71"/>
      <c r="P13" s="71">
        <f t="shared" si="3"/>
        <v>400000</v>
      </c>
      <c r="Q13" s="198">
        <v>203151</v>
      </c>
      <c r="R13" s="71">
        <f t="shared" si="2"/>
        <v>196849</v>
      </c>
      <c r="S13" s="72">
        <f t="shared" si="1"/>
        <v>50.787750000000003</v>
      </c>
    </row>
    <row r="14" spans="3:19" s="4" customFormat="1" ht="54" customHeight="1" x14ac:dyDescent="0.25">
      <c r="C14" s="205" t="s">
        <v>217</v>
      </c>
      <c r="D14" s="279" t="s">
        <v>183</v>
      </c>
      <c r="E14" s="279"/>
      <c r="F14" s="280" t="s">
        <v>222</v>
      </c>
      <c r="G14" s="280"/>
      <c r="H14" s="206" t="s">
        <v>215</v>
      </c>
      <c r="I14" s="336"/>
      <c r="J14" s="205" t="s">
        <v>34</v>
      </c>
      <c r="K14" s="3">
        <v>1200000</v>
      </c>
      <c r="L14" s="50" t="s">
        <v>179</v>
      </c>
      <c r="M14" s="3">
        <v>1200000</v>
      </c>
      <c r="N14" s="69"/>
      <c r="O14" s="71">
        <f>300000+300000+285000</f>
        <v>885000</v>
      </c>
      <c r="P14" s="71">
        <f t="shared" si="3"/>
        <v>2085000</v>
      </c>
      <c r="Q14" s="198">
        <v>1518356</v>
      </c>
      <c r="R14" s="71">
        <f t="shared" si="2"/>
        <v>566644</v>
      </c>
      <c r="S14" s="72">
        <f t="shared" si="1"/>
        <v>72.822829736211034</v>
      </c>
    </row>
    <row r="15" spans="3:19" s="4" customFormat="1" ht="30.75" customHeight="1" x14ac:dyDescent="0.25">
      <c r="C15" s="205" t="s">
        <v>217</v>
      </c>
      <c r="D15" s="279" t="s">
        <v>183</v>
      </c>
      <c r="E15" s="279"/>
      <c r="F15" s="280" t="s">
        <v>223</v>
      </c>
      <c r="G15" s="280"/>
      <c r="H15" s="206" t="s">
        <v>215</v>
      </c>
      <c r="I15" s="336"/>
      <c r="J15" s="205" t="s">
        <v>40</v>
      </c>
      <c r="K15" s="3">
        <v>250000</v>
      </c>
      <c r="L15" s="50" t="s">
        <v>66</v>
      </c>
      <c r="M15" s="3">
        <v>250000</v>
      </c>
      <c r="N15" s="69"/>
      <c r="O15" s="71">
        <v>60000</v>
      </c>
      <c r="P15" s="71">
        <f t="shared" si="3"/>
        <v>310000</v>
      </c>
      <c r="Q15" s="198">
        <v>231798</v>
      </c>
      <c r="R15" s="71">
        <f t="shared" si="2"/>
        <v>78202</v>
      </c>
      <c r="S15" s="72">
        <f t="shared" si="1"/>
        <v>74.773548387096781</v>
      </c>
    </row>
    <row r="16" spans="3:19" s="4" customFormat="1" ht="30.75" customHeight="1" x14ac:dyDescent="0.25">
      <c r="C16" s="205" t="s">
        <v>217</v>
      </c>
      <c r="D16" s="279" t="s">
        <v>183</v>
      </c>
      <c r="E16" s="279"/>
      <c r="F16" s="280" t="s">
        <v>224</v>
      </c>
      <c r="G16" s="280"/>
      <c r="H16" s="206" t="s">
        <v>215</v>
      </c>
      <c r="I16" s="336"/>
      <c r="J16" s="205" t="s">
        <v>41</v>
      </c>
      <c r="K16" s="3">
        <v>350000</v>
      </c>
      <c r="L16" s="50" t="s">
        <v>66</v>
      </c>
      <c r="M16" s="3">
        <v>350000</v>
      </c>
      <c r="N16" s="69"/>
      <c r="O16" s="71"/>
      <c r="P16" s="71">
        <f t="shared" si="3"/>
        <v>350000</v>
      </c>
      <c r="Q16" s="198">
        <v>374260</v>
      </c>
      <c r="R16" s="71">
        <f t="shared" si="2"/>
        <v>-24260</v>
      </c>
      <c r="S16" s="72">
        <f t="shared" si="1"/>
        <v>106.93142857142857</v>
      </c>
    </row>
    <row r="17" spans="3:19" ht="30.75" customHeight="1" x14ac:dyDescent="0.25">
      <c r="C17" s="205" t="s">
        <v>217</v>
      </c>
      <c r="D17" s="279" t="s">
        <v>183</v>
      </c>
      <c r="E17" s="279"/>
      <c r="F17" s="280" t="s">
        <v>20</v>
      </c>
      <c r="G17" s="280"/>
      <c r="H17" s="206" t="s">
        <v>251</v>
      </c>
      <c r="I17" s="336"/>
      <c r="J17" s="205" t="s">
        <v>42</v>
      </c>
      <c r="K17" s="3">
        <f>2000000</f>
        <v>2000000</v>
      </c>
      <c r="L17" s="50" t="s">
        <v>62</v>
      </c>
      <c r="M17" s="3">
        <f>2000000</f>
        <v>2000000</v>
      </c>
      <c r="N17" s="70"/>
      <c r="O17" s="71">
        <f>2000000+900000</f>
        <v>2900000</v>
      </c>
      <c r="P17" s="71">
        <f t="shared" si="3"/>
        <v>4900000</v>
      </c>
      <c r="Q17" s="198">
        <v>2782974</v>
      </c>
      <c r="R17" s="71">
        <f t="shared" si="2"/>
        <v>2117026</v>
      </c>
      <c r="S17" s="72">
        <f t="shared" si="1"/>
        <v>56.795387755102041</v>
      </c>
    </row>
    <row r="18" spans="3:19" ht="30.75" customHeight="1" x14ac:dyDescent="0.25">
      <c r="C18" s="205" t="s">
        <v>217</v>
      </c>
      <c r="D18" s="279" t="s">
        <v>183</v>
      </c>
      <c r="E18" s="279"/>
      <c r="F18" s="280" t="s">
        <v>221</v>
      </c>
      <c r="G18" s="280"/>
      <c r="H18" s="206" t="s">
        <v>215</v>
      </c>
      <c r="I18" s="337"/>
      <c r="J18" s="205" t="s">
        <v>220</v>
      </c>
      <c r="K18" s="3">
        <v>1500000</v>
      </c>
      <c r="L18" s="50" t="s">
        <v>62</v>
      </c>
      <c r="M18" s="3">
        <v>1500000</v>
      </c>
      <c r="N18" s="70"/>
      <c r="O18" s="71"/>
      <c r="P18" s="71">
        <f t="shared" si="3"/>
        <v>1500000</v>
      </c>
      <c r="Q18" s="71">
        <v>0</v>
      </c>
      <c r="R18" s="71">
        <f t="shared" si="2"/>
        <v>1500000</v>
      </c>
      <c r="S18" s="72">
        <f t="shared" si="1"/>
        <v>0</v>
      </c>
    </row>
    <row r="19" spans="3:19" s="96" customFormat="1" ht="23.25" customHeight="1" x14ac:dyDescent="0.25">
      <c r="C19" s="348" t="s">
        <v>23</v>
      </c>
      <c r="D19" s="349"/>
      <c r="E19" s="349"/>
      <c r="F19" s="349"/>
      <c r="G19" s="349"/>
      <c r="H19" s="349"/>
      <c r="I19" s="349"/>
      <c r="J19" s="350"/>
      <c r="K19" s="185">
        <f>K20</f>
        <v>3000000</v>
      </c>
      <c r="L19" s="186"/>
      <c r="M19" s="185">
        <f>M20</f>
        <v>3000000</v>
      </c>
      <c r="N19" s="187">
        <f>N20</f>
        <v>0</v>
      </c>
      <c r="O19" s="183">
        <f>O20</f>
        <v>0</v>
      </c>
      <c r="P19" s="183">
        <f>P20</f>
        <v>3000000</v>
      </c>
      <c r="Q19" s="183">
        <f>Q20</f>
        <v>0</v>
      </c>
      <c r="R19" s="183">
        <f t="shared" si="2"/>
        <v>3000000</v>
      </c>
      <c r="S19" s="184">
        <f t="shared" si="1"/>
        <v>0</v>
      </c>
    </row>
    <row r="20" spans="3:19" ht="49.5" customHeight="1" x14ac:dyDescent="0.25">
      <c r="C20" s="205" t="s">
        <v>9</v>
      </c>
      <c r="D20" s="279" t="s">
        <v>10</v>
      </c>
      <c r="E20" s="279"/>
      <c r="F20" s="280" t="s">
        <v>204</v>
      </c>
      <c r="G20" s="280"/>
      <c r="H20" s="206" t="s">
        <v>205</v>
      </c>
      <c r="I20" s="5">
        <v>8000000</v>
      </c>
      <c r="J20" s="205" t="s">
        <v>43</v>
      </c>
      <c r="K20" s="3">
        <v>3000000</v>
      </c>
      <c r="L20" s="50" t="s">
        <v>143</v>
      </c>
      <c r="M20" s="3">
        <v>3000000</v>
      </c>
      <c r="N20" s="70"/>
      <c r="O20" s="71"/>
      <c r="P20" s="71">
        <f>K20-N20+O20</f>
        <v>3000000</v>
      </c>
      <c r="Q20" s="71">
        <v>0</v>
      </c>
      <c r="R20" s="71">
        <f t="shared" si="2"/>
        <v>3000000</v>
      </c>
      <c r="S20" s="72">
        <f t="shared" si="1"/>
        <v>0</v>
      </c>
    </row>
    <row r="21" spans="3:19" ht="22.5" customHeight="1" x14ac:dyDescent="0.25">
      <c r="C21" s="348" t="s">
        <v>24</v>
      </c>
      <c r="D21" s="349"/>
      <c r="E21" s="349"/>
      <c r="F21" s="349"/>
      <c r="G21" s="349"/>
      <c r="H21" s="349"/>
      <c r="I21" s="349"/>
      <c r="J21" s="350"/>
      <c r="K21" s="185">
        <f>SUM(K22:K23)</f>
        <v>2400000</v>
      </c>
      <c r="L21" s="188"/>
      <c r="M21" s="185">
        <f>SUM(M22:M23)</f>
        <v>2400000</v>
      </c>
      <c r="N21" s="187">
        <f>N22+N23</f>
        <v>0</v>
      </c>
      <c r="O21" s="183">
        <f>O22+O23</f>
        <v>0</v>
      </c>
      <c r="P21" s="183">
        <f>SUM(P22:P23)</f>
        <v>2400000</v>
      </c>
      <c r="Q21" s="183">
        <f>Q22+Q23</f>
        <v>2416766</v>
      </c>
      <c r="R21" s="183">
        <f t="shared" si="2"/>
        <v>-16766</v>
      </c>
      <c r="S21" s="184">
        <f t="shared" si="1"/>
        <v>100.69858333333333</v>
      </c>
    </row>
    <row r="22" spans="3:19" ht="45.75" customHeight="1" x14ac:dyDescent="0.25">
      <c r="C22" s="205" t="s">
        <v>57</v>
      </c>
      <c r="D22" s="279" t="s">
        <v>206</v>
      </c>
      <c r="E22" s="279"/>
      <c r="F22" s="280" t="s">
        <v>172</v>
      </c>
      <c r="G22" s="280"/>
      <c r="H22" s="206" t="s">
        <v>218</v>
      </c>
      <c r="I22" s="5">
        <v>7280000</v>
      </c>
      <c r="J22" s="205" t="s">
        <v>44</v>
      </c>
      <c r="K22" s="3">
        <v>500000</v>
      </c>
      <c r="L22" s="50" t="s">
        <v>178</v>
      </c>
      <c r="M22" s="3">
        <v>500000</v>
      </c>
      <c r="N22" s="70"/>
      <c r="O22" s="71"/>
      <c r="P22" s="71">
        <f>K22-N22+O22</f>
        <v>500000</v>
      </c>
      <c r="Q22" s="198">
        <v>1342251</v>
      </c>
      <c r="R22" s="71">
        <f t="shared" si="2"/>
        <v>-842251</v>
      </c>
      <c r="S22" s="72">
        <f t="shared" si="1"/>
        <v>268.4502</v>
      </c>
    </row>
    <row r="23" spans="3:19" ht="48" customHeight="1" x14ac:dyDescent="0.25">
      <c r="C23" s="205" t="s">
        <v>219</v>
      </c>
      <c r="D23" s="279" t="s">
        <v>229</v>
      </c>
      <c r="E23" s="279"/>
      <c r="F23" s="280" t="s">
        <v>176</v>
      </c>
      <c r="G23" s="280"/>
      <c r="H23" s="206" t="s">
        <v>215</v>
      </c>
      <c r="I23" s="5">
        <v>1900000</v>
      </c>
      <c r="J23" s="205" t="s">
        <v>45</v>
      </c>
      <c r="K23" s="3">
        <v>1900000</v>
      </c>
      <c r="L23" s="50" t="s">
        <v>68</v>
      </c>
      <c r="M23" s="3">
        <v>1900000</v>
      </c>
      <c r="N23" s="70"/>
      <c r="O23" s="71"/>
      <c r="P23" s="71">
        <f>K23-N23+O23</f>
        <v>1900000</v>
      </c>
      <c r="Q23" s="198">
        <v>1074515</v>
      </c>
      <c r="R23" s="71">
        <f t="shared" si="2"/>
        <v>825485</v>
      </c>
      <c r="S23" s="72">
        <f t="shared" si="1"/>
        <v>56.553421052631577</v>
      </c>
    </row>
    <row r="24" spans="3:19" ht="30.75" customHeight="1" x14ac:dyDescent="0.25">
      <c r="C24" s="345" t="s">
        <v>131</v>
      </c>
      <c r="D24" s="346"/>
      <c r="E24" s="346"/>
      <c r="F24" s="346"/>
      <c r="G24" s="346"/>
      <c r="H24" s="346"/>
      <c r="I24" s="346"/>
      <c r="J24" s="347"/>
      <c r="K24" s="189">
        <f>K25</f>
        <v>300000</v>
      </c>
      <c r="L24" s="188"/>
      <c r="M24" s="189">
        <f>M25</f>
        <v>300000</v>
      </c>
      <c r="N24" s="187">
        <f>N25</f>
        <v>0</v>
      </c>
      <c r="O24" s="183">
        <f>O25</f>
        <v>17685539</v>
      </c>
      <c r="P24" s="183">
        <f t="shared" ref="P24" si="4">K24-N24+O24</f>
        <v>17985539</v>
      </c>
      <c r="Q24" s="183">
        <f>Q25</f>
        <v>5368738.1299999999</v>
      </c>
      <c r="R24" s="183">
        <f t="shared" si="2"/>
        <v>12616800.870000001</v>
      </c>
      <c r="S24" s="184">
        <f t="shared" si="1"/>
        <v>29.850304347287008</v>
      </c>
    </row>
    <row r="25" spans="3:19" ht="30.75" customHeight="1" x14ac:dyDescent="0.25">
      <c r="C25" s="61"/>
      <c r="D25" s="283"/>
      <c r="E25" s="283"/>
      <c r="F25" s="284" t="s">
        <v>21</v>
      </c>
      <c r="G25" s="284"/>
      <c r="H25" s="208" t="s">
        <v>215</v>
      </c>
      <c r="I25" s="62"/>
      <c r="J25" s="207" t="s">
        <v>132</v>
      </c>
      <c r="K25" s="63">
        <v>300000</v>
      </c>
      <c r="L25" s="50" t="s">
        <v>162</v>
      </c>
      <c r="M25" s="63">
        <v>300000</v>
      </c>
      <c r="N25" s="70"/>
      <c r="O25" s="71">
        <f>72570+318000+55604+1467000+111525+56600+470000+33800+2500000+69700+257400+12273340</f>
        <v>17685539</v>
      </c>
      <c r="P25" s="71">
        <f>K25-N25+O25</f>
        <v>17985539</v>
      </c>
      <c r="Q25" s="198">
        <v>5368738.1299999999</v>
      </c>
      <c r="R25" s="71">
        <f t="shared" si="2"/>
        <v>12616800.870000001</v>
      </c>
      <c r="S25" s="72">
        <f t="shared" si="1"/>
        <v>29.850304347287008</v>
      </c>
    </row>
    <row r="26" spans="3:19" ht="30.75" customHeight="1" x14ac:dyDescent="0.25">
      <c r="C26" s="345" t="s">
        <v>230</v>
      </c>
      <c r="D26" s="346"/>
      <c r="E26" s="346"/>
      <c r="F26" s="346"/>
      <c r="G26" s="346"/>
      <c r="H26" s="346"/>
      <c r="I26" s="346"/>
      <c r="J26" s="347"/>
      <c r="K26" s="189">
        <f>K27</f>
        <v>73000</v>
      </c>
      <c r="L26" s="188"/>
      <c r="M26" s="189">
        <f>M27</f>
        <v>73000</v>
      </c>
      <c r="N26" s="187">
        <f>N27</f>
        <v>0</v>
      </c>
      <c r="O26" s="183">
        <f>O27</f>
        <v>0</v>
      </c>
      <c r="P26" s="183">
        <f t="shared" ref="P26" si="5">K26-N26+O26</f>
        <v>73000</v>
      </c>
      <c r="Q26" s="183">
        <f>Q27</f>
        <v>0</v>
      </c>
      <c r="R26" s="183">
        <f t="shared" si="2"/>
        <v>73000</v>
      </c>
      <c r="S26" s="184">
        <f t="shared" si="1"/>
        <v>0</v>
      </c>
    </row>
    <row r="27" spans="3:19" ht="30.75" customHeight="1" x14ac:dyDescent="0.25">
      <c r="C27" s="61"/>
      <c r="D27" s="178"/>
      <c r="E27" s="179"/>
      <c r="F27" s="210"/>
      <c r="G27" s="211"/>
      <c r="H27" s="208" t="s">
        <v>215</v>
      </c>
      <c r="I27" s="62">
        <v>73000</v>
      </c>
      <c r="J27" s="207"/>
      <c r="K27" s="63">
        <v>73000</v>
      </c>
      <c r="L27" s="50" t="s">
        <v>63</v>
      </c>
      <c r="M27" s="63">
        <v>73000</v>
      </c>
      <c r="N27" s="70"/>
      <c r="O27" s="71"/>
      <c r="P27" s="71">
        <f>K27-N27+O27</f>
        <v>73000</v>
      </c>
      <c r="Q27" s="71"/>
      <c r="R27" s="71"/>
      <c r="S27" s="72"/>
    </row>
    <row r="28" spans="3:19" ht="25.5" customHeight="1" x14ac:dyDescent="0.25">
      <c r="C28" s="192"/>
      <c r="D28" s="342"/>
      <c r="E28" s="343"/>
      <c r="F28" s="342"/>
      <c r="G28" s="343"/>
      <c r="H28" s="193"/>
      <c r="I28" s="194"/>
      <c r="J28" s="195" t="s">
        <v>46</v>
      </c>
      <c r="K28" s="196">
        <f>K21+K19+K6+K24+K26</f>
        <v>30473000</v>
      </c>
      <c r="L28" s="196"/>
      <c r="M28" s="196">
        <f t="shared" ref="M28:R28" si="6">M21+M19+M6+M24+M26</f>
        <v>30473000</v>
      </c>
      <c r="N28" s="196">
        <f t="shared" si="6"/>
        <v>0</v>
      </c>
      <c r="O28" s="196">
        <f t="shared" si="6"/>
        <v>23572539</v>
      </c>
      <c r="P28" s="196">
        <f t="shared" si="6"/>
        <v>54045539</v>
      </c>
      <c r="Q28" s="196">
        <f t="shared" si="6"/>
        <v>30653383.129999999</v>
      </c>
      <c r="R28" s="196">
        <f t="shared" si="6"/>
        <v>23392155.870000001</v>
      </c>
      <c r="S28" s="197">
        <f t="shared" si="1"/>
        <v>56.717693443671642</v>
      </c>
    </row>
    <row r="29" spans="3:19" ht="15" customHeight="1" x14ac:dyDescent="0.25">
      <c r="C29" s="331" t="s">
        <v>231</v>
      </c>
      <c r="D29" s="331"/>
      <c r="E29" s="331"/>
      <c r="F29" s="331"/>
      <c r="G29" s="331"/>
      <c r="H29" s="331"/>
      <c r="I29" s="331"/>
      <c r="J29" s="331"/>
      <c r="K29" s="331"/>
      <c r="L29" s="331"/>
    </row>
    <row r="30" spans="3:19" x14ac:dyDescent="0.25">
      <c r="C30" s="332" t="s">
        <v>233</v>
      </c>
      <c r="D30" s="332"/>
      <c r="E30" s="332"/>
      <c r="F30" s="332"/>
      <c r="G30" s="332"/>
      <c r="H30" s="332"/>
      <c r="I30" s="332"/>
      <c r="J30" s="332"/>
    </row>
    <row r="33" spans="3:19" ht="30" x14ac:dyDescent="0.25">
      <c r="C33" s="209" t="s">
        <v>0</v>
      </c>
      <c r="D33" s="340" t="s">
        <v>1</v>
      </c>
      <c r="E33" s="340"/>
      <c r="F33" s="340" t="s">
        <v>2</v>
      </c>
      <c r="G33" s="340"/>
      <c r="H33" s="209" t="s">
        <v>27</v>
      </c>
      <c r="I33" s="209" t="s">
        <v>52</v>
      </c>
      <c r="J33" s="209" t="s">
        <v>28</v>
      </c>
      <c r="K33" s="209" t="s">
        <v>252</v>
      </c>
      <c r="L33" s="209" t="s">
        <v>25</v>
      </c>
      <c r="M33" s="191" t="s">
        <v>108</v>
      </c>
      <c r="N33" s="191" t="s">
        <v>109</v>
      </c>
      <c r="O33" s="191" t="s">
        <v>110</v>
      </c>
      <c r="P33" s="191" t="s">
        <v>111</v>
      </c>
      <c r="Q33" s="191" t="s">
        <v>235</v>
      </c>
      <c r="R33" s="191" t="s">
        <v>113</v>
      </c>
      <c r="S33" s="191" t="s">
        <v>114</v>
      </c>
    </row>
    <row r="34" spans="3:19" ht="15.75" x14ac:dyDescent="0.25">
      <c r="C34" s="351" t="s">
        <v>200</v>
      </c>
      <c r="D34" s="351"/>
      <c r="E34" s="351"/>
      <c r="F34" s="351"/>
      <c r="G34" s="351"/>
      <c r="H34" s="351"/>
      <c r="I34" s="351"/>
      <c r="J34" s="351"/>
      <c r="K34" s="185">
        <f>K35</f>
        <v>460000</v>
      </c>
      <c r="L34" s="186"/>
      <c r="M34" s="185">
        <f>M35</f>
        <v>460000</v>
      </c>
      <c r="N34" s="187">
        <f>N35</f>
        <v>0</v>
      </c>
      <c r="O34" s="183">
        <f>O35</f>
        <v>0</v>
      </c>
      <c r="P34" s="183">
        <f t="shared" ref="P34:P35" si="7">K34-N34+O34</f>
        <v>460000</v>
      </c>
      <c r="Q34" s="183">
        <f>Q35</f>
        <v>458728.26</v>
      </c>
      <c r="R34" s="183">
        <f t="shared" ref="R34:R35" si="8">P34-Q34</f>
        <v>1271.7399999999907</v>
      </c>
      <c r="S34" s="184">
        <f t="shared" ref="S34:S35" si="9">(Q34*100)/P34</f>
        <v>99.723534782608695</v>
      </c>
    </row>
    <row r="35" spans="3:19" x14ac:dyDescent="0.25">
      <c r="C35" s="205" t="s">
        <v>253</v>
      </c>
      <c r="D35" s="279" t="s">
        <v>254</v>
      </c>
      <c r="E35" s="279"/>
      <c r="F35" s="280" t="s">
        <v>255</v>
      </c>
      <c r="G35" s="280"/>
      <c r="H35" s="206" t="s">
        <v>215</v>
      </c>
      <c r="I35" s="5">
        <v>460000</v>
      </c>
      <c r="J35" s="205" t="s">
        <v>42</v>
      </c>
      <c r="K35" s="3">
        <v>460000</v>
      </c>
      <c r="L35" s="50" t="s">
        <v>62</v>
      </c>
      <c r="M35" s="3">
        <v>460000</v>
      </c>
      <c r="N35" s="70"/>
      <c r="O35" s="71"/>
      <c r="P35" s="71">
        <f t="shared" si="7"/>
        <v>460000</v>
      </c>
      <c r="Q35" s="71">
        <v>458728.26</v>
      </c>
      <c r="R35" s="71">
        <f t="shared" si="8"/>
        <v>1271.7399999999907</v>
      </c>
      <c r="S35" s="72">
        <f t="shared" si="9"/>
        <v>99.723534782608695</v>
      </c>
    </row>
    <row r="37" spans="3:19" x14ac:dyDescent="0.25">
      <c r="C37" s="212" t="s">
        <v>256</v>
      </c>
    </row>
    <row r="38" spans="3:19" x14ac:dyDescent="0.25">
      <c r="C38" s="1" t="s">
        <v>257</v>
      </c>
    </row>
  </sheetData>
  <mergeCells count="50">
    <mergeCell ref="D33:E33"/>
    <mergeCell ref="F33:G33"/>
    <mergeCell ref="C34:J34"/>
    <mergeCell ref="D35:E35"/>
    <mergeCell ref="F35:G35"/>
    <mergeCell ref="D28:E28"/>
    <mergeCell ref="F28:G28"/>
    <mergeCell ref="C29:L29"/>
    <mergeCell ref="C30:J30"/>
    <mergeCell ref="C3:S3"/>
    <mergeCell ref="D23:E23"/>
    <mergeCell ref="F23:G23"/>
    <mergeCell ref="C24:J24"/>
    <mergeCell ref="D25:E25"/>
    <mergeCell ref="F25:G25"/>
    <mergeCell ref="C26:J26"/>
    <mergeCell ref="C19:J19"/>
    <mergeCell ref="D20:E20"/>
    <mergeCell ref="F20:G20"/>
    <mergeCell ref="C21:J21"/>
    <mergeCell ref="D22:E22"/>
    <mergeCell ref="F22:G22"/>
    <mergeCell ref="F15:G15"/>
    <mergeCell ref="D16:E16"/>
    <mergeCell ref="F16:G16"/>
    <mergeCell ref="D17:E17"/>
    <mergeCell ref="F17:G17"/>
    <mergeCell ref="D18:E18"/>
    <mergeCell ref="F18:G18"/>
    <mergeCell ref="I10:I18"/>
    <mergeCell ref="D11:E11"/>
    <mergeCell ref="F11:G11"/>
    <mergeCell ref="D12:E12"/>
    <mergeCell ref="F12:G12"/>
    <mergeCell ref="D13:E13"/>
    <mergeCell ref="F13:G13"/>
    <mergeCell ref="D14:E14"/>
    <mergeCell ref="F14:G14"/>
    <mergeCell ref="D15:E15"/>
    <mergeCell ref="D8:E8"/>
    <mergeCell ref="F8:G8"/>
    <mergeCell ref="D9:E9"/>
    <mergeCell ref="F9:G9"/>
    <mergeCell ref="D10:E10"/>
    <mergeCell ref="F10:G10"/>
    <mergeCell ref="D5:E5"/>
    <mergeCell ref="F5:G5"/>
    <mergeCell ref="C6:J6"/>
    <mergeCell ref="D7:E7"/>
    <mergeCell ref="F7:G7"/>
  </mergeCells>
  <printOptions horizontalCentered="1"/>
  <pageMargins left="0.23622047244094491" right="0.23622047244094491" top="0.74803149606299213" bottom="0.74803149606299213" header="0.31496062992125984" footer="0.31496062992125984"/>
  <pageSetup paperSize="9" scale="52"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N31"/>
  <sheetViews>
    <sheetView zoomScale="80" zoomScaleNormal="80" workbookViewId="0">
      <selection activeCell="A23" sqref="A23:XFD24"/>
    </sheetView>
  </sheetViews>
  <sheetFormatPr defaultColWidth="9.140625" defaultRowHeight="15" x14ac:dyDescent="0.25"/>
  <cols>
    <col min="1" max="1" width="3.5703125" style="1" customWidth="1"/>
    <col min="2" max="2" width="15.140625" style="1" customWidth="1"/>
    <col min="3" max="3" width="9.140625" style="1"/>
    <col min="4" max="4" width="16.7109375" style="1" customWidth="1"/>
    <col min="5" max="5" width="9.140625" style="1"/>
    <col min="6" max="6" width="25.140625" style="1" customWidth="1"/>
    <col min="7" max="8" width="14" style="1" customWidth="1"/>
    <col min="9" max="9" width="34.7109375" style="1" customWidth="1"/>
    <col min="10" max="10" width="14.7109375" style="1" customWidth="1"/>
    <col min="11" max="11" width="28.42578125" style="6" customWidth="1"/>
    <col min="12" max="13" width="9.140625" style="1"/>
    <col min="14" max="14" width="10.140625" style="1" bestFit="1" customWidth="1"/>
    <col min="15" max="16384" width="9.140625" style="1"/>
  </cols>
  <sheetData>
    <row r="3" spans="2:14" ht="20.25" customHeight="1" x14ac:dyDescent="0.25">
      <c r="B3" s="344" t="s">
        <v>236</v>
      </c>
      <c r="C3" s="344"/>
      <c r="D3" s="344"/>
      <c r="E3" s="344"/>
      <c r="F3" s="344"/>
      <c r="G3" s="344"/>
      <c r="H3" s="344"/>
      <c r="I3" s="344"/>
      <c r="J3" s="344"/>
      <c r="K3" s="344"/>
    </row>
    <row r="5" spans="2:14" ht="44.25" customHeight="1" x14ac:dyDescent="0.25">
      <c r="B5" s="223" t="s">
        <v>0</v>
      </c>
      <c r="C5" s="340" t="s">
        <v>1</v>
      </c>
      <c r="D5" s="340"/>
      <c r="E5" s="340" t="s">
        <v>2</v>
      </c>
      <c r="F5" s="340"/>
      <c r="G5" s="223" t="s">
        <v>27</v>
      </c>
      <c r="H5" s="223" t="s">
        <v>52</v>
      </c>
      <c r="I5" s="223" t="s">
        <v>28</v>
      </c>
      <c r="J5" s="223" t="s">
        <v>247</v>
      </c>
      <c r="K5" s="223" t="s">
        <v>25</v>
      </c>
    </row>
    <row r="6" spans="2:14" s="96" customFormat="1" ht="18.75" customHeight="1" x14ac:dyDescent="0.25">
      <c r="B6" s="341" t="s">
        <v>22</v>
      </c>
      <c r="C6" s="341"/>
      <c r="D6" s="341"/>
      <c r="E6" s="341"/>
      <c r="F6" s="341"/>
      <c r="G6" s="341"/>
      <c r="H6" s="341"/>
      <c r="I6" s="341"/>
      <c r="J6" s="180">
        <f>SUM(J7:J18)</f>
        <v>29998000</v>
      </c>
      <c r="K6" s="181"/>
    </row>
    <row r="7" spans="2:14" s="4" customFormat="1" ht="34.5" customHeight="1" x14ac:dyDescent="0.25">
      <c r="B7" s="216" t="s">
        <v>214</v>
      </c>
      <c r="C7" s="279" t="s">
        <v>239</v>
      </c>
      <c r="D7" s="279"/>
      <c r="E7" s="280" t="s">
        <v>12</v>
      </c>
      <c r="F7" s="280"/>
      <c r="G7" s="217" t="s">
        <v>237</v>
      </c>
      <c r="H7" s="5">
        <v>1000000</v>
      </c>
      <c r="I7" s="216" t="s">
        <v>29</v>
      </c>
      <c r="J7" s="201">
        <v>200000</v>
      </c>
      <c r="K7" s="50" t="s">
        <v>62</v>
      </c>
    </row>
    <row r="8" spans="2:14" s="4" customFormat="1" ht="40.5" customHeight="1" x14ac:dyDescent="0.25">
      <c r="B8" s="216" t="s">
        <v>4</v>
      </c>
      <c r="C8" s="279" t="s">
        <v>181</v>
      </c>
      <c r="D8" s="279"/>
      <c r="E8" s="280" t="s">
        <v>197</v>
      </c>
      <c r="F8" s="280"/>
      <c r="G8" s="217" t="s">
        <v>238</v>
      </c>
      <c r="H8" s="5">
        <v>15000000</v>
      </c>
      <c r="I8" s="216" t="s">
        <v>30</v>
      </c>
      <c r="J8" s="201">
        <v>4000000</v>
      </c>
      <c r="K8" s="50" t="s">
        <v>62</v>
      </c>
    </row>
    <row r="9" spans="2:14" s="4" customFormat="1" ht="77.25" customHeight="1" x14ac:dyDescent="0.25">
      <c r="B9" s="216" t="s">
        <v>7</v>
      </c>
      <c r="C9" s="279" t="s">
        <v>182</v>
      </c>
      <c r="D9" s="279"/>
      <c r="E9" s="326" t="s">
        <v>258</v>
      </c>
      <c r="F9" s="327"/>
      <c r="G9" s="217" t="s">
        <v>238</v>
      </c>
      <c r="H9" s="5">
        <v>120000000</v>
      </c>
      <c r="I9" s="216" t="s">
        <v>31</v>
      </c>
      <c r="J9" s="201">
        <v>16800000</v>
      </c>
      <c r="K9" s="50" t="s">
        <v>62</v>
      </c>
    </row>
    <row r="10" spans="2:14" s="4" customFormat="1" ht="30.75" customHeight="1" x14ac:dyDescent="0.25">
      <c r="B10" s="203" t="s">
        <v>240</v>
      </c>
      <c r="C10" s="352" t="s">
        <v>241</v>
      </c>
      <c r="D10" s="353"/>
      <c r="E10" s="280" t="s">
        <v>223</v>
      </c>
      <c r="F10" s="280"/>
      <c r="G10" s="215" t="s">
        <v>242</v>
      </c>
      <c r="H10" s="335">
        <v>1000000</v>
      </c>
      <c r="I10" s="216" t="s">
        <v>40</v>
      </c>
      <c r="J10" s="201">
        <v>600000</v>
      </c>
      <c r="K10" s="220" t="s">
        <v>66</v>
      </c>
    </row>
    <row r="11" spans="2:14" s="4" customFormat="1" ht="30.75" customHeight="1" x14ac:dyDescent="0.25">
      <c r="B11" s="203" t="s">
        <v>240</v>
      </c>
      <c r="C11" s="352" t="s">
        <v>241</v>
      </c>
      <c r="D11" s="353"/>
      <c r="E11" s="280" t="s">
        <v>224</v>
      </c>
      <c r="F11" s="280"/>
      <c r="G11" s="215" t="s">
        <v>242</v>
      </c>
      <c r="H11" s="337"/>
      <c r="I11" s="216" t="s">
        <v>41</v>
      </c>
      <c r="J11" s="201">
        <v>400000</v>
      </c>
      <c r="K11" s="220" t="s">
        <v>66</v>
      </c>
      <c r="N11" s="93"/>
    </row>
    <row r="12" spans="2:14" s="4" customFormat="1" ht="30.75" customHeight="1" x14ac:dyDescent="0.25">
      <c r="B12" s="216" t="s">
        <v>217</v>
      </c>
      <c r="C12" s="279" t="s">
        <v>183</v>
      </c>
      <c r="D12" s="279"/>
      <c r="E12" s="280" t="s">
        <v>248</v>
      </c>
      <c r="F12" s="280"/>
      <c r="G12" s="217" t="s">
        <v>237</v>
      </c>
      <c r="H12" s="335">
        <v>50000000</v>
      </c>
      <c r="I12" s="216" t="s">
        <v>32</v>
      </c>
      <c r="J12" s="201">
        <v>600000</v>
      </c>
      <c r="K12" s="50" t="s">
        <v>63</v>
      </c>
    </row>
    <row r="13" spans="2:14" s="4" customFormat="1" ht="30.75" customHeight="1" x14ac:dyDescent="0.25">
      <c r="B13" s="216" t="s">
        <v>217</v>
      </c>
      <c r="C13" s="279" t="s">
        <v>183</v>
      </c>
      <c r="D13" s="279"/>
      <c r="E13" s="280" t="s">
        <v>209</v>
      </c>
      <c r="F13" s="280"/>
      <c r="G13" s="217" t="s">
        <v>237</v>
      </c>
      <c r="H13" s="336"/>
      <c r="I13" s="216" t="s">
        <v>210</v>
      </c>
      <c r="J13" s="201">
        <v>100000</v>
      </c>
      <c r="K13" s="50" t="s">
        <v>63</v>
      </c>
    </row>
    <row r="14" spans="2:14" s="4" customFormat="1" ht="30.75" customHeight="1" x14ac:dyDescent="0.25">
      <c r="B14" s="216" t="s">
        <v>217</v>
      </c>
      <c r="C14" s="279" t="s">
        <v>183</v>
      </c>
      <c r="D14" s="279"/>
      <c r="E14" s="280" t="s">
        <v>14</v>
      </c>
      <c r="F14" s="280"/>
      <c r="G14" s="217" t="s">
        <v>237</v>
      </c>
      <c r="H14" s="336"/>
      <c r="I14" s="216" t="s">
        <v>33</v>
      </c>
      <c r="J14" s="201">
        <v>600000</v>
      </c>
      <c r="K14" s="50" t="s">
        <v>228</v>
      </c>
    </row>
    <row r="15" spans="2:14" s="4" customFormat="1" ht="30.75" customHeight="1" x14ac:dyDescent="0.25">
      <c r="B15" s="216" t="s">
        <v>217</v>
      </c>
      <c r="C15" s="279" t="s">
        <v>183</v>
      </c>
      <c r="D15" s="279"/>
      <c r="E15" s="280" t="s">
        <v>15</v>
      </c>
      <c r="F15" s="280"/>
      <c r="G15" s="217" t="s">
        <v>237</v>
      </c>
      <c r="H15" s="336"/>
      <c r="I15" s="216" t="s">
        <v>37</v>
      </c>
      <c r="J15" s="201">
        <v>200000</v>
      </c>
      <c r="K15" s="50" t="s">
        <v>227</v>
      </c>
    </row>
    <row r="16" spans="2:14" s="4" customFormat="1" ht="27" customHeight="1" x14ac:dyDescent="0.25">
      <c r="B16" s="216" t="s">
        <v>217</v>
      </c>
      <c r="C16" s="279" t="s">
        <v>183</v>
      </c>
      <c r="D16" s="279"/>
      <c r="E16" s="280" t="s">
        <v>222</v>
      </c>
      <c r="F16" s="280"/>
      <c r="G16" s="217" t="s">
        <v>237</v>
      </c>
      <c r="H16" s="336"/>
      <c r="I16" s="216" t="s">
        <v>34</v>
      </c>
      <c r="J16" s="201">
        <v>1500000</v>
      </c>
      <c r="K16" s="50" t="s">
        <v>63</v>
      </c>
    </row>
    <row r="17" spans="2:11" ht="30.75" customHeight="1" x14ac:dyDescent="0.25">
      <c r="B17" s="216" t="s">
        <v>217</v>
      </c>
      <c r="C17" s="279" t="s">
        <v>183</v>
      </c>
      <c r="D17" s="279"/>
      <c r="E17" s="280" t="s">
        <v>20</v>
      </c>
      <c r="F17" s="280"/>
      <c r="G17" s="217" t="s">
        <v>237</v>
      </c>
      <c r="H17" s="336"/>
      <c r="I17" s="216" t="s">
        <v>42</v>
      </c>
      <c r="J17" s="201">
        <f>3000000</f>
        <v>3000000</v>
      </c>
      <c r="K17" s="50" t="s">
        <v>62</v>
      </c>
    </row>
    <row r="18" spans="2:11" ht="33" customHeight="1" x14ac:dyDescent="0.25">
      <c r="B18" s="216" t="s">
        <v>217</v>
      </c>
      <c r="C18" s="279" t="s">
        <v>183</v>
      </c>
      <c r="D18" s="279"/>
      <c r="E18" s="280" t="s">
        <v>221</v>
      </c>
      <c r="F18" s="280"/>
      <c r="G18" s="217" t="s">
        <v>237</v>
      </c>
      <c r="H18" s="337"/>
      <c r="I18" s="216" t="s">
        <v>220</v>
      </c>
      <c r="J18" s="201">
        <v>1998000</v>
      </c>
      <c r="K18" s="50" t="s">
        <v>62</v>
      </c>
    </row>
    <row r="19" spans="2:11" s="96" customFormat="1" ht="23.25" customHeight="1" x14ac:dyDescent="0.25">
      <c r="B19" s="348" t="s">
        <v>23</v>
      </c>
      <c r="C19" s="349"/>
      <c r="D19" s="349"/>
      <c r="E19" s="349"/>
      <c r="F19" s="349"/>
      <c r="G19" s="349"/>
      <c r="H19" s="349"/>
      <c r="I19" s="350"/>
      <c r="J19" s="185">
        <f>J20</f>
        <v>2000</v>
      </c>
      <c r="K19" s="186"/>
    </row>
    <row r="20" spans="2:11" ht="49.5" customHeight="1" x14ac:dyDescent="0.25">
      <c r="B20" s="216" t="s">
        <v>9</v>
      </c>
      <c r="C20" s="279" t="s">
        <v>245</v>
      </c>
      <c r="D20" s="279"/>
      <c r="E20" s="280" t="s">
        <v>243</v>
      </c>
      <c r="F20" s="280"/>
      <c r="G20" s="217" t="s">
        <v>244</v>
      </c>
      <c r="H20" s="5">
        <v>100000</v>
      </c>
      <c r="I20" s="216" t="s">
        <v>43</v>
      </c>
      <c r="J20" s="201">
        <v>2000</v>
      </c>
      <c r="K20" s="50" t="s">
        <v>143</v>
      </c>
    </row>
    <row r="21" spans="2:11" ht="22.5" customHeight="1" x14ac:dyDescent="0.25">
      <c r="B21" s="348" t="s">
        <v>24</v>
      </c>
      <c r="C21" s="349"/>
      <c r="D21" s="349"/>
      <c r="E21" s="349"/>
      <c r="F21" s="349"/>
      <c r="G21" s="349"/>
      <c r="H21" s="349"/>
      <c r="I21" s="350"/>
      <c r="J21" s="185">
        <f>SUM(J22:J22)</f>
        <v>2600000</v>
      </c>
      <c r="K21" s="188"/>
    </row>
    <row r="22" spans="2:11" ht="47.25" customHeight="1" x14ac:dyDescent="0.25">
      <c r="B22" s="216" t="s">
        <v>246</v>
      </c>
      <c r="C22" s="279" t="s">
        <v>229</v>
      </c>
      <c r="D22" s="279"/>
      <c r="E22" s="280" t="s">
        <v>176</v>
      </c>
      <c r="F22" s="280"/>
      <c r="G22" s="217" t="s">
        <v>242</v>
      </c>
      <c r="H22" s="5">
        <v>2600000</v>
      </c>
      <c r="I22" s="216" t="s">
        <v>45</v>
      </c>
      <c r="J22" s="201">
        <v>2600000</v>
      </c>
      <c r="K22" s="50" t="s">
        <v>249</v>
      </c>
    </row>
    <row r="23" spans="2:11" ht="30.75" customHeight="1" x14ac:dyDescent="0.25">
      <c r="B23" s="345" t="s">
        <v>131</v>
      </c>
      <c r="C23" s="346"/>
      <c r="D23" s="346"/>
      <c r="E23" s="346"/>
      <c r="F23" s="346"/>
      <c r="G23" s="346"/>
      <c r="H23" s="346"/>
      <c r="I23" s="347"/>
      <c r="J23" s="189">
        <f>J24</f>
        <v>2000</v>
      </c>
      <c r="K23" s="188"/>
    </row>
    <row r="24" spans="2:11" ht="30.75" customHeight="1" x14ac:dyDescent="0.25">
      <c r="B24" s="61"/>
      <c r="C24" s="283"/>
      <c r="D24" s="283"/>
      <c r="E24" s="284" t="s">
        <v>21</v>
      </c>
      <c r="F24" s="284"/>
      <c r="G24" s="219" t="s">
        <v>242</v>
      </c>
      <c r="H24" s="62"/>
      <c r="I24" s="218" t="s">
        <v>132</v>
      </c>
      <c r="J24" s="202">
        <v>2000</v>
      </c>
      <c r="K24" s="50" t="s">
        <v>162</v>
      </c>
    </row>
    <row r="25" spans="2:11" ht="30.75" hidden="1" customHeight="1" x14ac:dyDescent="0.25">
      <c r="B25" s="345" t="s">
        <v>230</v>
      </c>
      <c r="C25" s="346"/>
      <c r="D25" s="346"/>
      <c r="E25" s="346"/>
      <c r="F25" s="346"/>
      <c r="G25" s="346"/>
      <c r="H25" s="346"/>
      <c r="I25" s="347"/>
      <c r="J25" s="189">
        <f>J26</f>
        <v>85000</v>
      </c>
      <c r="K25" s="188"/>
    </row>
    <row r="26" spans="2:11" ht="30.75" hidden="1" customHeight="1" x14ac:dyDescent="0.25">
      <c r="B26" s="61"/>
      <c r="C26" s="178"/>
      <c r="D26" s="179"/>
      <c r="E26" s="221"/>
      <c r="F26" s="222"/>
      <c r="G26" s="219" t="s">
        <v>242</v>
      </c>
      <c r="H26" s="204">
        <v>85000</v>
      </c>
      <c r="I26" s="218"/>
      <c r="J26" s="63">
        <v>85000</v>
      </c>
      <c r="K26" s="50" t="s">
        <v>63</v>
      </c>
    </row>
    <row r="27" spans="2:11" ht="25.5" customHeight="1" x14ac:dyDescent="0.25">
      <c r="B27" s="192"/>
      <c r="C27" s="342"/>
      <c r="D27" s="343"/>
      <c r="E27" s="342"/>
      <c r="F27" s="343"/>
      <c r="G27" s="193"/>
      <c r="H27" s="194"/>
      <c r="I27" s="195" t="s">
        <v>46</v>
      </c>
      <c r="J27" s="196">
        <f>J6+J19+J21+J23</f>
        <v>32602000</v>
      </c>
      <c r="K27" s="196"/>
    </row>
    <row r="28" spans="2:11" ht="15" customHeight="1" x14ac:dyDescent="0.25">
      <c r="B28" s="331" t="s">
        <v>231</v>
      </c>
      <c r="C28" s="331"/>
      <c r="D28" s="331"/>
      <c r="E28" s="331"/>
      <c r="F28" s="331"/>
      <c r="G28" s="331"/>
      <c r="H28" s="331"/>
      <c r="I28" s="331"/>
      <c r="J28" s="331"/>
      <c r="K28" s="331"/>
    </row>
    <row r="29" spans="2:11" hidden="1" x14ac:dyDescent="0.25">
      <c r="B29" s="332" t="s">
        <v>233</v>
      </c>
      <c r="C29" s="332"/>
      <c r="D29" s="332"/>
      <c r="E29" s="332"/>
      <c r="F29" s="332"/>
      <c r="G29" s="332"/>
      <c r="H29" s="332"/>
      <c r="I29" s="332"/>
    </row>
    <row r="30" spans="2:11" ht="15" customHeight="1" x14ac:dyDescent="0.25">
      <c r="B30" s="354" t="s">
        <v>259</v>
      </c>
      <c r="C30" s="354"/>
      <c r="D30" s="354"/>
      <c r="E30" s="354"/>
      <c r="F30" s="354"/>
      <c r="G30" s="354"/>
      <c r="H30" s="354"/>
      <c r="I30" s="354"/>
      <c r="J30" s="354"/>
      <c r="K30" s="214"/>
    </row>
    <row r="31" spans="2:11" ht="21" customHeight="1" x14ac:dyDescent="0.25">
      <c r="B31" s="354"/>
      <c r="C31" s="354"/>
      <c r="D31" s="354"/>
      <c r="E31" s="354"/>
      <c r="F31" s="354"/>
      <c r="G31" s="354"/>
      <c r="H31" s="354"/>
      <c r="I31" s="354"/>
      <c r="J31" s="354"/>
      <c r="K31" s="214"/>
    </row>
  </sheetData>
  <mergeCells count="45">
    <mergeCell ref="C27:D27"/>
    <mergeCell ref="E27:F27"/>
    <mergeCell ref="B28:K28"/>
    <mergeCell ref="B29:I29"/>
    <mergeCell ref="B30:J31"/>
    <mergeCell ref="B25:I25"/>
    <mergeCell ref="C18:D18"/>
    <mergeCell ref="E18:F18"/>
    <mergeCell ref="B19:I19"/>
    <mergeCell ref="C20:D20"/>
    <mergeCell ref="E20:F20"/>
    <mergeCell ref="B21:I21"/>
    <mergeCell ref="C22:D22"/>
    <mergeCell ref="E22:F22"/>
    <mergeCell ref="B23:I23"/>
    <mergeCell ref="C24:D24"/>
    <mergeCell ref="E24:F24"/>
    <mergeCell ref="H10:H11"/>
    <mergeCell ref="C11:D11"/>
    <mergeCell ref="E11:F11"/>
    <mergeCell ref="C12:D12"/>
    <mergeCell ref="E12:F12"/>
    <mergeCell ref="H12:H18"/>
    <mergeCell ref="C13:D13"/>
    <mergeCell ref="E13:F13"/>
    <mergeCell ref="C14:D14"/>
    <mergeCell ref="E14:F14"/>
    <mergeCell ref="C15:D15"/>
    <mergeCell ref="E15:F15"/>
    <mergeCell ref="C16:D16"/>
    <mergeCell ref="E16:F16"/>
    <mergeCell ref="C17:D17"/>
    <mergeCell ref="E17:F17"/>
    <mergeCell ref="C8:D8"/>
    <mergeCell ref="E8:F8"/>
    <mergeCell ref="C9:D9"/>
    <mergeCell ref="E9:F9"/>
    <mergeCell ref="C10:D10"/>
    <mergeCell ref="E10:F10"/>
    <mergeCell ref="B3:K3"/>
    <mergeCell ref="C5:D5"/>
    <mergeCell ref="E5:F5"/>
    <mergeCell ref="B6:I6"/>
    <mergeCell ref="C7:D7"/>
    <mergeCell ref="E7:F7"/>
  </mergeCells>
  <pageMargins left="0.51181102362204722" right="0.31496062992125984" top="0.35433070866141736" bottom="0.35433070866141736" header="0.31496062992125984" footer="0.31496062992125984"/>
  <pageSetup paperSize="9" scale="49" orientation="landscape"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M29"/>
  <sheetViews>
    <sheetView zoomScale="80" zoomScaleNormal="80" workbookViewId="0">
      <selection activeCell="U15" sqref="U15"/>
    </sheetView>
  </sheetViews>
  <sheetFormatPr defaultColWidth="9.140625" defaultRowHeight="15" x14ac:dyDescent="0.25"/>
  <cols>
    <col min="1" max="1" width="3.5703125" style="1" customWidth="1"/>
    <col min="2" max="2" width="15.140625" style="1" customWidth="1"/>
    <col min="3" max="3" width="9.140625" style="1"/>
    <col min="4" max="4" width="16.7109375" style="1" customWidth="1"/>
    <col min="5" max="5" width="9.140625" style="1"/>
    <col min="6" max="6" width="39" style="1" customWidth="1"/>
    <col min="7" max="8" width="14" style="1" customWidth="1"/>
    <col min="9" max="9" width="34.7109375" style="1" customWidth="1"/>
    <col min="10" max="10" width="14.7109375" style="1" customWidth="1"/>
    <col min="11" max="11" width="28.42578125" style="6" customWidth="1"/>
    <col min="12" max="12" width="9.140625" style="1"/>
    <col min="13" max="13" width="10.140625" style="1" bestFit="1" customWidth="1"/>
    <col min="14" max="16384" width="9.140625" style="1"/>
  </cols>
  <sheetData>
    <row r="3" spans="2:13" ht="20.25" customHeight="1" x14ac:dyDescent="0.25">
      <c r="B3" s="344" t="s">
        <v>267</v>
      </c>
      <c r="C3" s="344"/>
      <c r="D3" s="344"/>
      <c r="E3" s="344"/>
      <c r="F3" s="344"/>
      <c r="G3" s="344"/>
      <c r="H3" s="344"/>
      <c r="I3" s="344"/>
      <c r="J3" s="344"/>
      <c r="K3" s="344"/>
    </row>
    <row r="5" spans="2:13" ht="44.25" customHeight="1" x14ac:dyDescent="0.25">
      <c r="B5" s="237" t="s">
        <v>0</v>
      </c>
      <c r="C5" s="340" t="s">
        <v>1</v>
      </c>
      <c r="D5" s="340"/>
      <c r="E5" s="340" t="s">
        <v>2</v>
      </c>
      <c r="F5" s="340"/>
      <c r="G5" s="237" t="s">
        <v>27</v>
      </c>
      <c r="H5" s="237" t="s">
        <v>52</v>
      </c>
      <c r="I5" s="237" t="s">
        <v>28</v>
      </c>
      <c r="J5" s="237" t="s">
        <v>268</v>
      </c>
      <c r="K5" s="237" t="s">
        <v>25</v>
      </c>
    </row>
    <row r="6" spans="2:13" s="96" customFormat="1" ht="18.75" customHeight="1" x14ac:dyDescent="0.25">
      <c r="B6" s="341" t="s">
        <v>22</v>
      </c>
      <c r="C6" s="341"/>
      <c r="D6" s="341"/>
      <c r="E6" s="341"/>
      <c r="F6" s="341"/>
      <c r="G6" s="341"/>
      <c r="H6" s="341"/>
      <c r="I6" s="341"/>
      <c r="J6" s="180">
        <f>SUM(J7:J18)</f>
        <v>30500000</v>
      </c>
      <c r="K6" s="181"/>
    </row>
    <row r="7" spans="2:13" s="4" customFormat="1" ht="34.5" customHeight="1" x14ac:dyDescent="0.25">
      <c r="B7" s="238" t="s">
        <v>214</v>
      </c>
      <c r="C7" s="357" t="s">
        <v>270</v>
      </c>
      <c r="D7" s="357"/>
      <c r="E7" s="358" t="s">
        <v>261</v>
      </c>
      <c r="F7" s="358"/>
      <c r="G7" s="239" t="s">
        <v>262</v>
      </c>
      <c r="H7" s="228">
        <v>2000000</v>
      </c>
      <c r="I7" s="230" t="s">
        <v>29</v>
      </c>
      <c r="J7" s="201">
        <v>500000</v>
      </c>
      <c r="K7" s="50" t="s">
        <v>62</v>
      </c>
    </row>
    <row r="8" spans="2:13" s="4" customFormat="1" ht="48.75" customHeight="1" x14ac:dyDescent="0.25">
      <c r="B8" s="238" t="s">
        <v>4</v>
      </c>
      <c r="C8" s="357" t="s">
        <v>181</v>
      </c>
      <c r="D8" s="357"/>
      <c r="E8" s="358" t="s">
        <v>260</v>
      </c>
      <c r="F8" s="358"/>
      <c r="G8" s="239" t="s">
        <v>263</v>
      </c>
      <c r="H8" s="228">
        <v>15000000</v>
      </c>
      <c r="I8" s="230" t="s">
        <v>30</v>
      </c>
      <c r="J8" s="201">
        <v>1000000</v>
      </c>
      <c r="K8" s="50" t="s">
        <v>62</v>
      </c>
    </row>
    <row r="9" spans="2:13" s="4" customFormat="1" ht="84.75" customHeight="1" x14ac:dyDescent="0.25">
      <c r="B9" s="238" t="s">
        <v>7</v>
      </c>
      <c r="C9" s="357" t="s">
        <v>182</v>
      </c>
      <c r="D9" s="357"/>
      <c r="E9" s="366" t="s">
        <v>264</v>
      </c>
      <c r="F9" s="367"/>
      <c r="G9" s="239" t="s">
        <v>263</v>
      </c>
      <c r="H9" s="228">
        <v>145000000</v>
      </c>
      <c r="I9" s="230" t="s">
        <v>31</v>
      </c>
      <c r="J9" s="201">
        <v>25500000</v>
      </c>
      <c r="K9" s="50" t="s">
        <v>62</v>
      </c>
    </row>
    <row r="10" spans="2:13" s="4" customFormat="1" ht="30.75" customHeight="1" x14ac:dyDescent="0.25">
      <c r="B10" s="229" t="s">
        <v>265</v>
      </c>
      <c r="C10" s="364" t="s">
        <v>241</v>
      </c>
      <c r="D10" s="365"/>
      <c r="E10" s="358" t="s">
        <v>223</v>
      </c>
      <c r="F10" s="358"/>
      <c r="G10" s="215" t="s">
        <v>266</v>
      </c>
      <c r="H10" s="362">
        <v>1000000</v>
      </c>
      <c r="I10" s="230" t="s">
        <v>40</v>
      </c>
      <c r="J10" s="201">
        <v>500000</v>
      </c>
      <c r="K10" s="234" t="s">
        <v>66</v>
      </c>
    </row>
    <row r="11" spans="2:13" s="4" customFormat="1" ht="30.75" customHeight="1" x14ac:dyDescent="0.25">
      <c r="B11" s="229" t="s">
        <v>265</v>
      </c>
      <c r="C11" s="364" t="s">
        <v>241</v>
      </c>
      <c r="D11" s="365"/>
      <c r="E11" s="358" t="s">
        <v>224</v>
      </c>
      <c r="F11" s="358"/>
      <c r="G11" s="215" t="s">
        <v>266</v>
      </c>
      <c r="H11" s="363"/>
      <c r="I11" s="230" t="s">
        <v>41</v>
      </c>
      <c r="J11" s="201">
        <v>500000</v>
      </c>
      <c r="K11" s="234" t="s">
        <v>66</v>
      </c>
      <c r="M11" s="93"/>
    </row>
    <row r="12" spans="2:13" s="4" customFormat="1" ht="30.75" customHeight="1" x14ac:dyDescent="0.25">
      <c r="B12" s="238" t="s">
        <v>217</v>
      </c>
      <c r="C12" s="357" t="s">
        <v>183</v>
      </c>
      <c r="D12" s="357"/>
      <c r="E12" s="358" t="s">
        <v>276</v>
      </c>
      <c r="F12" s="358"/>
      <c r="G12" s="231" t="s">
        <v>262</v>
      </c>
      <c r="H12" s="359">
        <v>35000000</v>
      </c>
      <c r="I12" s="230" t="s">
        <v>32</v>
      </c>
      <c r="J12" s="201">
        <v>400000</v>
      </c>
      <c r="K12" s="50" t="s">
        <v>63</v>
      </c>
    </row>
    <row r="13" spans="2:13" s="4" customFormat="1" ht="30.75" customHeight="1" x14ac:dyDescent="0.25">
      <c r="B13" s="238" t="s">
        <v>217</v>
      </c>
      <c r="C13" s="357" t="s">
        <v>183</v>
      </c>
      <c r="D13" s="357"/>
      <c r="E13" s="358" t="s">
        <v>279</v>
      </c>
      <c r="F13" s="358"/>
      <c r="G13" s="231" t="s">
        <v>262</v>
      </c>
      <c r="H13" s="360"/>
      <c r="I13" s="230" t="s">
        <v>210</v>
      </c>
      <c r="J13" s="201">
        <v>100000</v>
      </c>
      <c r="K13" s="50" t="s">
        <v>63</v>
      </c>
    </row>
    <row r="14" spans="2:13" s="4" customFormat="1" ht="27" customHeight="1" x14ac:dyDescent="0.25">
      <c r="B14" s="238" t="s">
        <v>217</v>
      </c>
      <c r="C14" s="357" t="s">
        <v>183</v>
      </c>
      <c r="D14" s="357"/>
      <c r="E14" s="358" t="s">
        <v>277</v>
      </c>
      <c r="F14" s="358"/>
      <c r="G14" s="231" t="s">
        <v>262</v>
      </c>
      <c r="H14" s="360"/>
      <c r="I14" s="230" t="s">
        <v>34</v>
      </c>
      <c r="J14" s="201">
        <v>808000</v>
      </c>
      <c r="K14" s="50" t="s">
        <v>63</v>
      </c>
    </row>
    <row r="15" spans="2:13" s="4" customFormat="1" ht="30.75" customHeight="1" x14ac:dyDescent="0.25">
      <c r="B15" s="238" t="s">
        <v>217</v>
      </c>
      <c r="C15" s="357" t="s">
        <v>183</v>
      </c>
      <c r="D15" s="357"/>
      <c r="E15" s="358" t="s">
        <v>275</v>
      </c>
      <c r="F15" s="358"/>
      <c r="G15" s="231" t="s">
        <v>262</v>
      </c>
      <c r="H15" s="360"/>
      <c r="I15" s="230" t="s">
        <v>33</v>
      </c>
      <c r="J15" s="201">
        <v>400000</v>
      </c>
      <c r="K15" s="50" t="s">
        <v>228</v>
      </c>
    </row>
    <row r="16" spans="2:13" s="4" customFormat="1" ht="30.75" customHeight="1" x14ac:dyDescent="0.25">
      <c r="B16" s="238" t="s">
        <v>217</v>
      </c>
      <c r="C16" s="357" t="s">
        <v>183</v>
      </c>
      <c r="D16" s="357"/>
      <c r="E16" s="358" t="s">
        <v>274</v>
      </c>
      <c r="F16" s="358"/>
      <c r="G16" s="231" t="s">
        <v>262</v>
      </c>
      <c r="H16" s="360"/>
      <c r="I16" s="230" t="s">
        <v>37</v>
      </c>
      <c r="J16" s="201">
        <v>100000</v>
      </c>
      <c r="K16" s="50" t="s">
        <v>227</v>
      </c>
    </row>
    <row r="17" spans="2:11" ht="30.75" customHeight="1" x14ac:dyDescent="0.25">
      <c r="B17" s="238" t="s">
        <v>217</v>
      </c>
      <c r="C17" s="357" t="s">
        <v>183</v>
      </c>
      <c r="D17" s="357"/>
      <c r="E17" s="358" t="s">
        <v>20</v>
      </c>
      <c r="F17" s="358"/>
      <c r="G17" s="231" t="s">
        <v>262</v>
      </c>
      <c r="H17" s="360"/>
      <c r="I17" s="230" t="s">
        <v>42</v>
      </c>
      <c r="J17" s="201">
        <v>500000</v>
      </c>
      <c r="K17" s="50" t="s">
        <v>62</v>
      </c>
    </row>
    <row r="18" spans="2:11" s="4" customFormat="1" ht="34.5" customHeight="1" x14ac:dyDescent="0.25">
      <c r="B18" s="245" t="s">
        <v>217</v>
      </c>
      <c r="C18" s="357" t="s">
        <v>183</v>
      </c>
      <c r="D18" s="357"/>
      <c r="E18" s="358" t="s">
        <v>271</v>
      </c>
      <c r="F18" s="358"/>
      <c r="G18" s="244" t="s">
        <v>262</v>
      </c>
      <c r="H18" s="361"/>
      <c r="I18" s="243" t="s">
        <v>38</v>
      </c>
      <c r="J18" s="201">
        <v>192000</v>
      </c>
      <c r="K18" s="50" t="s">
        <v>63</v>
      </c>
    </row>
    <row r="19" spans="2:11" s="96" customFormat="1" ht="23.25" customHeight="1" x14ac:dyDescent="0.25">
      <c r="B19" s="348" t="s">
        <v>23</v>
      </c>
      <c r="C19" s="349"/>
      <c r="D19" s="349"/>
      <c r="E19" s="349"/>
      <c r="F19" s="349"/>
      <c r="G19" s="349"/>
      <c r="H19" s="349"/>
      <c r="I19" s="350"/>
      <c r="J19" s="185">
        <f>J20</f>
        <v>1300000</v>
      </c>
      <c r="K19" s="186"/>
    </row>
    <row r="20" spans="2:11" ht="49.5" customHeight="1" x14ac:dyDescent="0.25">
      <c r="B20" s="238" t="s">
        <v>9</v>
      </c>
      <c r="C20" s="279" t="s">
        <v>245</v>
      </c>
      <c r="D20" s="279"/>
      <c r="E20" s="280" t="s">
        <v>278</v>
      </c>
      <c r="F20" s="280"/>
      <c r="G20" s="231" t="s">
        <v>244</v>
      </c>
      <c r="H20" s="228">
        <v>1300000</v>
      </c>
      <c r="I20" s="230" t="s">
        <v>43</v>
      </c>
      <c r="J20" s="201">
        <v>1300000</v>
      </c>
      <c r="K20" s="50" t="s">
        <v>143</v>
      </c>
    </row>
    <row r="21" spans="2:11" ht="22.5" customHeight="1" x14ac:dyDescent="0.25">
      <c r="B21" s="348" t="s">
        <v>24</v>
      </c>
      <c r="C21" s="349"/>
      <c r="D21" s="349"/>
      <c r="E21" s="349"/>
      <c r="F21" s="349"/>
      <c r="G21" s="349"/>
      <c r="H21" s="349"/>
      <c r="I21" s="350"/>
      <c r="J21" s="185">
        <f>SUM(J22:J22)</f>
        <v>2800000</v>
      </c>
      <c r="K21" s="188"/>
    </row>
    <row r="22" spans="2:11" ht="47.25" customHeight="1" x14ac:dyDescent="0.25">
      <c r="B22" s="238" t="s">
        <v>273</v>
      </c>
      <c r="C22" s="279" t="s">
        <v>229</v>
      </c>
      <c r="D22" s="279"/>
      <c r="E22" s="280" t="s">
        <v>272</v>
      </c>
      <c r="F22" s="280"/>
      <c r="G22" s="231" t="s">
        <v>266</v>
      </c>
      <c r="H22" s="228">
        <v>2800000</v>
      </c>
      <c r="I22" s="230" t="s">
        <v>45</v>
      </c>
      <c r="J22" s="201">
        <v>2800000</v>
      </c>
      <c r="K22" s="50" t="s">
        <v>280</v>
      </c>
    </row>
    <row r="23" spans="2:11" ht="30.75" hidden="1" customHeight="1" x14ac:dyDescent="0.25">
      <c r="B23" s="345" t="s">
        <v>230</v>
      </c>
      <c r="C23" s="346"/>
      <c r="D23" s="346"/>
      <c r="E23" s="346"/>
      <c r="F23" s="346"/>
      <c r="G23" s="346"/>
      <c r="H23" s="346"/>
      <c r="I23" s="347"/>
      <c r="J23" s="189">
        <f>J24</f>
        <v>85000</v>
      </c>
      <c r="K23" s="188"/>
    </row>
    <row r="24" spans="2:11" ht="30.75" hidden="1" customHeight="1" x14ac:dyDescent="0.25">
      <c r="B24" s="61"/>
      <c r="C24" s="178"/>
      <c r="D24" s="179"/>
      <c r="E24" s="235"/>
      <c r="F24" s="236"/>
      <c r="G24" s="233" t="s">
        <v>242</v>
      </c>
      <c r="H24" s="204">
        <v>85000</v>
      </c>
      <c r="I24" s="232"/>
      <c r="J24" s="63">
        <v>85000</v>
      </c>
      <c r="K24" s="50" t="s">
        <v>63</v>
      </c>
    </row>
    <row r="25" spans="2:11" ht="22.5" customHeight="1" x14ac:dyDescent="0.25">
      <c r="B25" s="348" t="s">
        <v>21</v>
      </c>
      <c r="C25" s="349"/>
      <c r="D25" s="349"/>
      <c r="E25" s="349"/>
      <c r="F25" s="349"/>
      <c r="G25" s="349"/>
      <c r="H25" s="349"/>
      <c r="I25" s="350"/>
      <c r="J25" s="185">
        <f>J26</f>
        <v>0</v>
      </c>
      <c r="K25" s="188"/>
    </row>
    <row r="26" spans="2:11" ht="30.75" customHeight="1" x14ac:dyDescent="0.25">
      <c r="B26" s="49"/>
      <c r="C26" s="355"/>
      <c r="D26" s="356"/>
      <c r="E26" s="333" t="s">
        <v>21</v>
      </c>
      <c r="F26" s="334"/>
      <c r="G26" s="233" t="s">
        <v>266</v>
      </c>
      <c r="H26" s="240">
        <v>0</v>
      </c>
      <c r="I26" s="178" t="s">
        <v>132</v>
      </c>
      <c r="J26" s="241">
        <v>0</v>
      </c>
      <c r="K26" s="50" t="s">
        <v>62</v>
      </c>
    </row>
    <row r="27" spans="2:11" ht="25.5" customHeight="1" x14ac:dyDescent="0.25">
      <c r="B27" s="192"/>
      <c r="C27" s="342"/>
      <c r="D27" s="343"/>
      <c r="E27" s="342"/>
      <c r="F27" s="343"/>
      <c r="G27" s="193"/>
      <c r="H27" s="194"/>
      <c r="I27" s="195" t="s">
        <v>46</v>
      </c>
      <c r="J27" s="196">
        <f>J6+J19+J21+J25</f>
        <v>34600000</v>
      </c>
      <c r="K27" s="196"/>
    </row>
    <row r="28" spans="2:11" ht="15" customHeight="1" x14ac:dyDescent="0.25">
      <c r="B28" s="331" t="s">
        <v>231</v>
      </c>
      <c r="C28" s="331"/>
      <c r="D28" s="331"/>
      <c r="E28" s="331"/>
      <c r="F28" s="331"/>
      <c r="G28" s="331"/>
      <c r="H28" s="331"/>
      <c r="I28" s="331"/>
      <c r="J28" s="331"/>
      <c r="K28" s="331"/>
    </row>
    <row r="29" spans="2:11" hidden="1" x14ac:dyDescent="0.25">
      <c r="B29" s="332" t="s">
        <v>233</v>
      </c>
      <c r="C29" s="332"/>
      <c r="D29" s="332"/>
      <c r="E29" s="332"/>
      <c r="F29" s="332"/>
      <c r="G29" s="332"/>
      <c r="H29" s="332"/>
      <c r="I29" s="332"/>
    </row>
  </sheetData>
  <mergeCells count="44">
    <mergeCell ref="B3:K3"/>
    <mergeCell ref="C5:D5"/>
    <mergeCell ref="E5:F5"/>
    <mergeCell ref="B6:I6"/>
    <mergeCell ref="C7:D7"/>
    <mergeCell ref="E7:F7"/>
    <mergeCell ref="E14:F14"/>
    <mergeCell ref="C8:D8"/>
    <mergeCell ref="E8:F8"/>
    <mergeCell ref="C9:D9"/>
    <mergeCell ref="E9:F9"/>
    <mergeCell ref="C10:D10"/>
    <mergeCell ref="E10:F10"/>
    <mergeCell ref="H10:H11"/>
    <mergeCell ref="C11:D11"/>
    <mergeCell ref="E11:F11"/>
    <mergeCell ref="C12:D12"/>
    <mergeCell ref="E12:F12"/>
    <mergeCell ref="B21:I21"/>
    <mergeCell ref="C15:D15"/>
    <mergeCell ref="E15:F15"/>
    <mergeCell ref="C16:D16"/>
    <mergeCell ref="E16:F16"/>
    <mergeCell ref="C17:D17"/>
    <mergeCell ref="E17:F17"/>
    <mergeCell ref="B19:I19"/>
    <mergeCell ref="C20:D20"/>
    <mergeCell ref="E20:F20"/>
    <mergeCell ref="C18:D18"/>
    <mergeCell ref="E18:F18"/>
    <mergeCell ref="H12:H18"/>
    <mergeCell ref="C13:D13"/>
    <mergeCell ref="E13:F13"/>
    <mergeCell ref="C14:D14"/>
    <mergeCell ref="C27:D27"/>
    <mergeCell ref="E27:F27"/>
    <mergeCell ref="B28:K28"/>
    <mergeCell ref="B29:I29"/>
    <mergeCell ref="C22:D22"/>
    <mergeCell ref="E22:F22"/>
    <mergeCell ref="B23:I23"/>
    <mergeCell ref="B25:I25"/>
    <mergeCell ref="C26:D26"/>
    <mergeCell ref="E26:F26"/>
  </mergeCells>
  <pageMargins left="0.51181102362204722" right="0.31496062992125984" top="0.35433070866141736" bottom="0.35433070866141736" header="0.31496062992125984" footer="0.31496062992125984"/>
  <pageSetup paperSize="9" scale="46" orientation="landscape"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T27"/>
  <sheetViews>
    <sheetView zoomScale="80" zoomScaleNormal="80" workbookViewId="0">
      <selection activeCell="L7" sqref="L7"/>
    </sheetView>
  </sheetViews>
  <sheetFormatPr defaultColWidth="9.140625" defaultRowHeight="15" x14ac:dyDescent="0.25"/>
  <cols>
    <col min="1" max="1" width="3.5703125" style="1" customWidth="1"/>
    <col min="2" max="2" width="15.140625" style="1" customWidth="1"/>
    <col min="3" max="3" width="9.140625" style="1"/>
    <col min="4" max="4" width="16.7109375" style="1" customWidth="1"/>
    <col min="5" max="5" width="9.140625" style="1"/>
    <col min="6" max="6" width="39" style="1" customWidth="1"/>
    <col min="7" max="8" width="14" style="1" customWidth="1"/>
    <col min="9" max="9" width="34.7109375" style="1" customWidth="1"/>
    <col min="10" max="10" width="14.7109375" style="1" customWidth="1"/>
    <col min="11" max="11" width="28.42578125" style="6" customWidth="1"/>
    <col min="12" max="12" width="13.5703125" style="1" bestFit="1" customWidth="1"/>
    <col min="13" max="13" width="13.85546875" style="1" customWidth="1"/>
    <col min="14" max="14" width="14.85546875" style="1" customWidth="1"/>
    <col min="15" max="15" width="15" style="1" bestFit="1" customWidth="1"/>
    <col min="16" max="16" width="15.140625" style="1" customWidth="1"/>
    <col min="17" max="17" width="14.7109375" style="1" customWidth="1"/>
    <col min="18" max="18" width="12.7109375" style="1" customWidth="1"/>
    <col min="19" max="19" width="9.140625" style="1"/>
    <col min="20" max="20" width="10.140625" style="1" bestFit="1" customWidth="1"/>
    <col min="21" max="16384" width="9.140625" style="1"/>
  </cols>
  <sheetData>
    <row r="3" spans="2:20" ht="20.25" customHeight="1" x14ac:dyDescent="0.25">
      <c r="B3" s="344" t="s">
        <v>267</v>
      </c>
      <c r="C3" s="344"/>
      <c r="D3" s="344"/>
      <c r="E3" s="344"/>
      <c r="F3" s="344"/>
      <c r="G3" s="344"/>
      <c r="H3" s="344"/>
      <c r="I3" s="344"/>
      <c r="J3" s="344"/>
      <c r="K3" s="344"/>
      <c r="L3" s="344"/>
      <c r="M3" s="344"/>
      <c r="N3" s="344"/>
      <c r="O3" s="344"/>
      <c r="P3" s="344"/>
      <c r="Q3" s="344"/>
      <c r="R3" s="344"/>
    </row>
    <row r="5" spans="2:20" ht="44.25" customHeight="1" x14ac:dyDescent="0.25">
      <c r="B5" s="190" t="s">
        <v>0</v>
      </c>
      <c r="C5" s="340" t="s">
        <v>1</v>
      </c>
      <c r="D5" s="340"/>
      <c r="E5" s="340" t="s">
        <v>2</v>
      </c>
      <c r="F5" s="340"/>
      <c r="G5" s="190" t="s">
        <v>27</v>
      </c>
      <c r="H5" s="190" t="s">
        <v>52</v>
      </c>
      <c r="I5" s="190" t="s">
        <v>28</v>
      </c>
      <c r="J5" s="190" t="s">
        <v>268</v>
      </c>
      <c r="K5" s="190" t="s">
        <v>25</v>
      </c>
      <c r="L5" s="191" t="s">
        <v>108</v>
      </c>
      <c r="M5" s="191" t="s">
        <v>109</v>
      </c>
      <c r="N5" s="191" t="s">
        <v>110</v>
      </c>
      <c r="O5" s="191" t="s">
        <v>111</v>
      </c>
      <c r="P5" s="191" t="s">
        <v>269</v>
      </c>
      <c r="Q5" s="191" t="s">
        <v>113</v>
      </c>
      <c r="R5" s="191" t="s">
        <v>114</v>
      </c>
    </row>
    <row r="6" spans="2:20" s="96" customFormat="1" ht="18.75" customHeight="1" x14ac:dyDescent="0.25">
      <c r="B6" s="341" t="s">
        <v>22</v>
      </c>
      <c r="C6" s="341"/>
      <c r="D6" s="341"/>
      <c r="E6" s="341"/>
      <c r="F6" s="341"/>
      <c r="G6" s="341"/>
      <c r="H6" s="341"/>
      <c r="I6" s="341"/>
      <c r="J6" s="180">
        <f>SUM(J7:J18)</f>
        <v>30500000</v>
      </c>
      <c r="K6" s="181"/>
      <c r="L6" s="180">
        <f t="shared" ref="L6:Q6" si="0">SUM(L7:L18)</f>
        <v>30500000</v>
      </c>
      <c r="M6" s="180">
        <f t="shared" si="0"/>
        <v>0</v>
      </c>
      <c r="N6" s="180">
        <f t="shared" si="0"/>
        <v>5470000</v>
      </c>
      <c r="O6" s="180">
        <f t="shared" si="0"/>
        <v>35970000</v>
      </c>
      <c r="P6" s="180">
        <f t="shared" si="0"/>
        <v>3699701.58</v>
      </c>
      <c r="Q6" s="180">
        <f t="shared" si="0"/>
        <v>32270298.420000002</v>
      </c>
      <c r="R6" s="184">
        <f t="shared" ref="R6:R25" si="1">(P6*100)/O6</f>
        <v>10.285520100083403</v>
      </c>
    </row>
    <row r="7" spans="2:20" s="4" customFormat="1" ht="34.5" customHeight="1" x14ac:dyDescent="0.25">
      <c r="B7" s="226" t="s">
        <v>214</v>
      </c>
      <c r="C7" s="357" t="s">
        <v>270</v>
      </c>
      <c r="D7" s="357"/>
      <c r="E7" s="358" t="s">
        <v>261</v>
      </c>
      <c r="F7" s="358"/>
      <c r="G7" s="227" t="s">
        <v>262</v>
      </c>
      <c r="H7" s="228">
        <v>2000000</v>
      </c>
      <c r="I7" s="169" t="s">
        <v>29</v>
      </c>
      <c r="J7" s="201">
        <v>500000</v>
      </c>
      <c r="K7" s="50" t="s">
        <v>62</v>
      </c>
      <c r="L7" s="201">
        <v>500000</v>
      </c>
      <c r="M7" s="69"/>
      <c r="N7" s="71"/>
      <c r="O7" s="71">
        <f>J7-M7+N7</f>
        <v>500000</v>
      </c>
      <c r="P7" s="198">
        <v>13800</v>
      </c>
      <c r="Q7" s="71">
        <f t="shared" ref="Q7:Q22" si="2">O7-P7</f>
        <v>486200</v>
      </c>
      <c r="R7" s="72">
        <f t="shared" si="1"/>
        <v>2.76</v>
      </c>
    </row>
    <row r="8" spans="2:20" s="4" customFormat="1" ht="48.75" customHeight="1" x14ac:dyDescent="0.25">
      <c r="B8" s="226" t="s">
        <v>4</v>
      </c>
      <c r="C8" s="357" t="s">
        <v>181</v>
      </c>
      <c r="D8" s="357"/>
      <c r="E8" s="358" t="s">
        <v>260</v>
      </c>
      <c r="F8" s="358"/>
      <c r="G8" s="227" t="s">
        <v>263</v>
      </c>
      <c r="H8" s="228">
        <v>15000000</v>
      </c>
      <c r="I8" s="169" t="s">
        <v>30</v>
      </c>
      <c r="J8" s="201">
        <v>1000000</v>
      </c>
      <c r="K8" s="50" t="s">
        <v>62</v>
      </c>
      <c r="L8" s="201">
        <v>1000000</v>
      </c>
      <c r="M8" s="69"/>
      <c r="N8" s="71"/>
      <c r="O8" s="71">
        <f t="shared" ref="O8:O17" si="3">J8-M8+N8</f>
        <v>1000000</v>
      </c>
      <c r="P8" s="198">
        <v>90144.39</v>
      </c>
      <c r="Q8" s="71">
        <f t="shared" si="2"/>
        <v>909855.61</v>
      </c>
      <c r="R8" s="72">
        <f t="shared" si="1"/>
        <v>9.0144389999999994</v>
      </c>
    </row>
    <row r="9" spans="2:20" s="4" customFormat="1" ht="63" customHeight="1" x14ac:dyDescent="0.25">
      <c r="B9" s="226" t="s">
        <v>7</v>
      </c>
      <c r="C9" s="357" t="s">
        <v>182</v>
      </c>
      <c r="D9" s="357"/>
      <c r="E9" s="366" t="s">
        <v>264</v>
      </c>
      <c r="F9" s="367"/>
      <c r="G9" s="227" t="s">
        <v>263</v>
      </c>
      <c r="H9" s="228">
        <v>145000000</v>
      </c>
      <c r="I9" s="169" t="s">
        <v>31</v>
      </c>
      <c r="J9" s="201">
        <v>25500000</v>
      </c>
      <c r="K9" s="50" t="s">
        <v>62</v>
      </c>
      <c r="L9" s="201">
        <v>25500000</v>
      </c>
      <c r="M9" s="69"/>
      <c r="N9" s="71"/>
      <c r="O9" s="71">
        <f t="shared" si="3"/>
        <v>25500000</v>
      </c>
      <c r="P9" s="198">
        <v>2854404.58</v>
      </c>
      <c r="Q9" s="71">
        <f t="shared" si="2"/>
        <v>22645595.420000002</v>
      </c>
      <c r="R9" s="72">
        <f t="shared" si="1"/>
        <v>11.193743450980392</v>
      </c>
    </row>
    <row r="10" spans="2:20" s="4" customFormat="1" ht="30.75" customHeight="1" x14ac:dyDescent="0.25">
      <c r="B10" s="229" t="s">
        <v>265</v>
      </c>
      <c r="C10" s="364" t="s">
        <v>241</v>
      </c>
      <c r="D10" s="365"/>
      <c r="E10" s="358" t="s">
        <v>223</v>
      </c>
      <c r="F10" s="358"/>
      <c r="G10" s="215" t="s">
        <v>266</v>
      </c>
      <c r="H10" s="362">
        <v>1000000</v>
      </c>
      <c r="I10" s="199" t="s">
        <v>40</v>
      </c>
      <c r="J10" s="201">
        <v>500000</v>
      </c>
      <c r="K10" s="200" t="s">
        <v>66</v>
      </c>
      <c r="L10" s="201">
        <v>500000</v>
      </c>
      <c r="M10" s="69"/>
      <c r="N10" s="71"/>
      <c r="O10" s="71">
        <f t="shared" ref="O10:O11" si="4">J10-M10+N10</f>
        <v>500000</v>
      </c>
      <c r="P10" s="198"/>
      <c r="Q10" s="71">
        <f t="shared" ref="Q10:Q11" si="5">O10-P10</f>
        <v>500000</v>
      </c>
      <c r="R10" s="72">
        <f t="shared" ref="R10:R11" si="6">(P10*100)/O10</f>
        <v>0</v>
      </c>
    </row>
    <row r="11" spans="2:20" s="4" customFormat="1" ht="30.75" customHeight="1" x14ac:dyDescent="0.25">
      <c r="B11" s="229" t="s">
        <v>265</v>
      </c>
      <c r="C11" s="364" t="s">
        <v>241</v>
      </c>
      <c r="D11" s="365"/>
      <c r="E11" s="358" t="s">
        <v>224</v>
      </c>
      <c r="F11" s="358"/>
      <c r="G11" s="215" t="s">
        <v>266</v>
      </c>
      <c r="H11" s="363"/>
      <c r="I11" s="199" t="s">
        <v>41</v>
      </c>
      <c r="J11" s="201">
        <v>500000</v>
      </c>
      <c r="K11" s="200" t="s">
        <v>66</v>
      </c>
      <c r="L11" s="201">
        <v>500000</v>
      </c>
      <c r="M11" s="69"/>
      <c r="N11" s="71"/>
      <c r="O11" s="71">
        <f t="shared" si="4"/>
        <v>500000</v>
      </c>
      <c r="P11" s="198">
        <v>138984.29999999999</v>
      </c>
      <c r="Q11" s="71">
        <f t="shared" si="5"/>
        <v>361015.7</v>
      </c>
      <c r="R11" s="72">
        <f t="shared" si="6"/>
        <v>27.796859999999995</v>
      </c>
      <c r="T11" s="93"/>
    </row>
    <row r="12" spans="2:20" s="4" customFormat="1" ht="30.75" customHeight="1" x14ac:dyDescent="0.25">
      <c r="B12" s="226" t="s">
        <v>217</v>
      </c>
      <c r="C12" s="357" t="s">
        <v>183</v>
      </c>
      <c r="D12" s="357"/>
      <c r="E12" s="358" t="s">
        <v>276</v>
      </c>
      <c r="F12" s="358"/>
      <c r="G12" s="170" t="s">
        <v>262</v>
      </c>
      <c r="H12" s="362">
        <v>35000000</v>
      </c>
      <c r="I12" s="169" t="s">
        <v>32</v>
      </c>
      <c r="J12" s="201">
        <v>400000</v>
      </c>
      <c r="K12" s="50" t="s">
        <v>63</v>
      </c>
      <c r="L12" s="201">
        <v>400000</v>
      </c>
      <c r="M12" s="69"/>
      <c r="N12" s="71"/>
      <c r="O12" s="71">
        <f t="shared" si="3"/>
        <v>400000</v>
      </c>
      <c r="P12" s="198">
        <v>35830.699999999997</v>
      </c>
      <c r="Q12" s="71">
        <f t="shared" si="2"/>
        <v>364169.3</v>
      </c>
      <c r="R12" s="72">
        <f t="shared" si="1"/>
        <v>8.9576749999999983</v>
      </c>
    </row>
    <row r="13" spans="2:20" s="4" customFormat="1" ht="30.75" customHeight="1" x14ac:dyDescent="0.25">
      <c r="B13" s="238" t="s">
        <v>217</v>
      </c>
      <c r="C13" s="357" t="s">
        <v>183</v>
      </c>
      <c r="D13" s="357"/>
      <c r="E13" s="358" t="s">
        <v>279</v>
      </c>
      <c r="F13" s="358"/>
      <c r="G13" s="231" t="s">
        <v>262</v>
      </c>
      <c r="H13" s="368"/>
      <c r="I13" s="230" t="s">
        <v>210</v>
      </c>
      <c r="J13" s="201">
        <v>100000</v>
      </c>
      <c r="K13" s="50" t="s">
        <v>63</v>
      </c>
      <c r="L13" s="201">
        <v>100000</v>
      </c>
      <c r="M13" s="69"/>
      <c r="N13" s="71"/>
      <c r="O13" s="71">
        <f t="shared" ref="O13" si="7">J13-M13+N13</f>
        <v>100000</v>
      </c>
      <c r="P13" s="198"/>
      <c r="Q13" s="71">
        <f t="shared" ref="Q13" si="8">O13-P13</f>
        <v>100000</v>
      </c>
      <c r="R13" s="72">
        <f t="shared" ref="R13" si="9">(P13*100)/O13</f>
        <v>0</v>
      </c>
    </row>
    <row r="14" spans="2:20" s="4" customFormat="1" ht="27" customHeight="1" x14ac:dyDescent="0.25">
      <c r="B14" s="226" t="s">
        <v>217</v>
      </c>
      <c r="C14" s="357" t="s">
        <v>183</v>
      </c>
      <c r="D14" s="357"/>
      <c r="E14" s="358" t="s">
        <v>277</v>
      </c>
      <c r="F14" s="358"/>
      <c r="G14" s="225" t="s">
        <v>262</v>
      </c>
      <c r="H14" s="368"/>
      <c r="I14" s="224" t="s">
        <v>34</v>
      </c>
      <c r="J14" s="201">
        <v>808000</v>
      </c>
      <c r="K14" s="50" t="s">
        <v>63</v>
      </c>
      <c r="L14" s="201">
        <v>808000</v>
      </c>
      <c r="M14" s="69"/>
      <c r="N14" s="71"/>
      <c r="O14" s="71">
        <f t="shared" si="3"/>
        <v>808000</v>
      </c>
      <c r="P14" s="198">
        <v>4050</v>
      </c>
      <c r="Q14" s="71">
        <f t="shared" si="2"/>
        <v>803950</v>
      </c>
      <c r="R14" s="72">
        <f t="shared" si="1"/>
        <v>0.50123762376237624</v>
      </c>
    </row>
    <row r="15" spans="2:20" s="4" customFormat="1" ht="30.75" customHeight="1" x14ac:dyDescent="0.25">
      <c r="B15" s="226" t="s">
        <v>217</v>
      </c>
      <c r="C15" s="357" t="s">
        <v>183</v>
      </c>
      <c r="D15" s="357"/>
      <c r="E15" s="358" t="s">
        <v>275</v>
      </c>
      <c r="F15" s="358"/>
      <c r="G15" s="225" t="s">
        <v>262</v>
      </c>
      <c r="H15" s="368"/>
      <c r="I15" s="169" t="s">
        <v>33</v>
      </c>
      <c r="J15" s="201">
        <v>400000</v>
      </c>
      <c r="K15" s="50" t="s">
        <v>228</v>
      </c>
      <c r="L15" s="201">
        <v>400000</v>
      </c>
      <c r="M15" s="69"/>
      <c r="N15" s="71"/>
      <c r="O15" s="71">
        <f t="shared" si="3"/>
        <v>400000</v>
      </c>
      <c r="P15" s="198"/>
      <c r="Q15" s="71">
        <f t="shared" si="2"/>
        <v>400000</v>
      </c>
      <c r="R15" s="72">
        <f t="shared" si="1"/>
        <v>0</v>
      </c>
    </row>
    <row r="16" spans="2:20" s="4" customFormat="1" ht="30.75" customHeight="1" x14ac:dyDescent="0.25">
      <c r="B16" s="226" t="s">
        <v>217</v>
      </c>
      <c r="C16" s="357" t="s">
        <v>183</v>
      </c>
      <c r="D16" s="357"/>
      <c r="E16" s="358" t="s">
        <v>274</v>
      </c>
      <c r="F16" s="358"/>
      <c r="G16" s="225" t="s">
        <v>262</v>
      </c>
      <c r="H16" s="368"/>
      <c r="I16" s="169" t="s">
        <v>37</v>
      </c>
      <c r="J16" s="201">
        <v>100000</v>
      </c>
      <c r="K16" s="50" t="s">
        <v>227</v>
      </c>
      <c r="L16" s="201">
        <v>100000</v>
      </c>
      <c r="M16" s="69"/>
      <c r="N16" s="71"/>
      <c r="O16" s="71">
        <f t="shared" si="3"/>
        <v>100000</v>
      </c>
      <c r="P16" s="198"/>
      <c r="Q16" s="71">
        <f t="shared" si="2"/>
        <v>100000</v>
      </c>
      <c r="R16" s="72">
        <f t="shared" si="1"/>
        <v>0</v>
      </c>
    </row>
    <row r="17" spans="2:18" ht="30.75" customHeight="1" x14ac:dyDescent="0.25">
      <c r="B17" s="226" t="s">
        <v>217</v>
      </c>
      <c r="C17" s="357" t="s">
        <v>183</v>
      </c>
      <c r="D17" s="357"/>
      <c r="E17" s="358" t="s">
        <v>20</v>
      </c>
      <c r="F17" s="358"/>
      <c r="G17" s="225" t="s">
        <v>262</v>
      </c>
      <c r="H17" s="368"/>
      <c r="I17" s="169" t="s">
        <v>42</v>
      </c>
      <c r="J17" s="201">
        <v>500000</v>
      </c>
      <c r="K17" s="50" t="s">
        <v>62</v>
      </c>
      <c r="L17" s="201">
        <v>500000</v>
      </c>
      <c r="M17" s="70"/>
      <c r="N17" s="71">
        <f>70000+5400000</f>
        <v>5470000</v>
      </c>
      <c r="O17" s="71">
        <f t="shared" si="3"/>
        <v>5970000</v>
      </c>
      <c r="P17" s="198">
        <v>562487.61</v>
      </c>
      <c r="Q17" s="71">
        <f t="shared" si="2"/>
        <v>5407512.3899999997</v>
      </c>
      <c r="R17" s="72">
        <f t="shared" si="1"/>
        <v>9.4219030150753778</v>
      </c>
    </row>
    <row r="18" spans="2:18" s="4" customFormat="1" ht="30.75" customHeight="1" x14ac:dyDescent="0.25">
      <c r="B18" s="245" t="s">
        <v>217</v>
      </c>
      <c r="C18" s="357" t="s">
        <v>183</v>
      </c>
      <c r="D18" s="357"/>
      <c r="E18" s="358" t="s">
        <v>271</v>
      </c>
      <c r="F18" s="358"/>
      <c r="G18" s="244" t="s">
        <v>262</v>
      </c>
      <c r="H18" s="363"/>
      <c r="I18" s="243" t="s">
        <v>38</v>
      </c>
      <c r="J18" s="201">
        <v>192000</v>
      </c>
      <c r="K18" s="50" t="s">
        <v>63</v>
      </c>
      <c r="L18" s="201">
        <v>192000</v>
      </c>
      <c r="M18" s="69"/>
      <c r="N18" s="71"/>
      <c r="O18" s="71">
        <f t="shared" ref="O18" si="10">J18-M18+N18</f>
        <v>192000</v>
      </c>
      <c r="P18" s="213"/>
      <c r="Q18" s="71">
        <f t="shared" ref="Q18" si="11">O18-P18</f>
        <v>192000</v>
      </c>
      <c r="R18" s="72">
        <f t="shared" ref="R18" si="12">(P18*100)/O18</f>
        <v>0</v>
      </c>
    </row>
    <row r="19" spans="2:18" s="96" customFormat="1" ht="23.25" customHeight="1" x14ac:dyDescent="0.25">
      <c r="B19" s="348" t="s">
        <v>23</v>
      </c>
      <c r="C19" s="349"/>
      <c r="D19" s="349"/>
      <c r="E19" s="349"/>
      <c r="F19" s="349"/>
      <c r="G19" s="349"/>
      <c r="H19" s="349"/>
      <c r="I19" s="350"/>
      <c r="J19" s="185">
        <f>J20</f>
        <v>1300000</v>
      </c>
      <c r="K19" s="186"/>
      <c r="L19" s="185">
        <f>L20</f>
        <v>1300000</v>
      </c>
      <c r="M19" s="187">
        <f>M20</f>
        <v>0</v>
      </c>
      <c r="N19" s="183">
        <f>N20</f>
        <v>0</v>
      </c>
      <c r="O19" s="183">
        <f>O20</f>
        <v>1300000</v>
      </c>
      <c r="P19" s="183">
        <f>P20</f>
        <v>0</v>
      </c>
      <c r="Q19" s="183">
        <f t="shared" si="2"/>
        <v>1300000</v>
      </c>
      <c r="R19" s="184">
        <f t="shared" si="1"/>
        <v>0</v>
      </c>
    </row>
    <row r="20" spans="2:18" ht="49.5" customHeight="1" x14ac:dyDescent="0.25">
      <c r="B20" s="226" t="s">
        <v>9</v>
      </c>
      <c r="C20" s="279" t="s">
        <v>245</v>
      </c>
      <c r="D20" s="279"/>
      <c r="E20" s="280" t="s">
        <v>278</v>
      </c>
      <c r="F20" s="280"/>
      <c r="G20" s="170" t="s">
        <v>244</v>
      </c>
      <c r="H20" s="228">
        <v>1300000</v>
      </c>
      <c r="I20" s="169" t="s">
        <v>43</v>
      </c>
      <c r="J20" s="201">
        <v>1300000</v>
      </c>
      <c r="K20" s="50" t="s">
        <v>143</v>
      </c>
      <c r="L20" s="201">
        <v>1300000</v>
      </c>
      <c r="M20" s="70"/>
      <c r="N20" s="71"/>
      <c r="O20" s="71">
        <f>J20-M20+N20</f>
        <v>1300000</v>
      </c>
      <c r="P20" s="198">
        <v>0</v>
      </c>
      <c r="Q20" s="71">
        <f t="shared" si="2"/>
        <v>1300000</v>
      </c>
      <c r="R20" s="72">
        <f t="shared" si="1"/>
        <v>0</v>
      </c>
    </row>
    <row r="21" spans="2:18" ht="22.5" customHeight="1" x14ac:dyDescent="0.25">
      <c r="B21" s="348" t="s">
        <v>24</v>
      </c>
      <c r="C21" s="349"/>
      <c r="D21" s="349"/>
      <c r="E21" s="349"/>
      <c r="F21" s="349"/>
      <c r="G21" s="349"/>
      <c r="H21" s="349"/>
      <c r="I21" s="350"/>
      <c r="J21" s="185">
        <f>SUM(J22:J22)</f>
        <v>2800000</v>
      </c>
      <c r="K21" s="188"/>
      <c r="L21" s="185">
        <f>SUM(L22:L22)</f>
        <v>2800000</v>
      </c>
      <c r="M21" s="187">
        <f>M22</f>
        <v>0</v>
      </c>
      <c r="N21" s="187">
        <f>N22</f>
        <v>0</v>
      </c>
      <c r="O21" s="183">
        <f>SUM(O22:O22)</f>
        <v>2800000</v>
      </c>
      <c r="P21" s="183">
        <f>P22</f>
        <v>501.5</v>
      </c>
      <c r="Q21" s="183">
        <f t="shared" si="2"/>
        <v>2799498.5</v>
      </c>
      <c r="R21" s="184">
        <f t="shared" si="1"/>
        <v>1.7910714285714287E-2</v>
      </c>
    </row>
    <row r="22" spans="2:18" ht="47.25" customHeight="1" x14ac:dyDescent="0.25">
      <c r="B22" s="226" t="s">
        <v>273</v>
      </c>
      <c r="C22" s="279" t="s">
        <v>229</v>
      </c>
      <c r="D22" s="279"/>
      <c r="E22" s="280" t="s">
        <v>272</v>
      </c>
      <c r="F22" s="280"/>
      <c r="G22" s="170" t="s">
        <v>266</v>
      </c>
      <c r="H22" s="228">
        <v>2800000</v>
      </c>
      <c r="I22" s="169" t="s">
        <v>45</v>
      </c>
      <c r="J22" s="201">
        <v>2800000</v>
      </c>
      <c r="K22" s="50" t="s">
        <v>280</v>
      </c>
      <c r="L22" s="201">
        <v>2800000</v>
      </c>
      <c r="M22" s="70"/>
      <c r="N22" s="71"/>
      <c r="O22" s="71">
        <f>J22-M22+N22</f>
        <v>2800000</v>
      </c>
      <c r="P22" s="198">
        <v>501.5</v>
      </c>
      <c r="Q22" s="71">
        <f t="shared" si="2"/>
        <v>2799498.5</v>
      </c>
      <c r="R22" s="72">
        <f t="shared" si="1"/>
        <v>1.7910714285714287E-2</v>
      </c>
    </row>
    <row r="23" spans="2:18" ht="22.5" customHeight="1" x14ac:dyDescent="0.25">
      <c r="B23" s="348" t="s">
        <v>21</v>
      </c>
      <c r="C23" s="349"/>
      <c r="D23" s="349"/>
      <c r="E23" s="349"/>
      <c r="F23" s="349"/>
      <c r="G23" s="349"/>
      <c r="H23" s="349"/>
      <c r="I23" s="350"/>
      <c r="J23" s="185">
        <f>J24</f>
        <v>0</v>
      </c>
      <c r="K23" s="188"/>
      <c r="L23" s="185">
        <f>L24</f>
        <v>0</v>
      </c>
      <c r="M23" s="185">
        <f>M24</f>
        <v>0</v>
      </c>
      <c r="N23" s="246">
        <f>N24</f>
        <v>23550000</v>
      </c>
      <c r="O23" s="183">
        <f>O24</f>
        <v>23550000</v>
      </c>
      <c r="P23" s="183">
        <f>P24</f>
        <v>1066028.68</v>
      </c>
      <c r="Q23" s="183">
        <f t="shared" ref="Q23" si="13">O23-P23</f>
        <v>22483971.32</v>
      </c>
      <c r="R23" s="184">
        <f>P23/O23*100</f>
        <v>4.5266610615711249</v>
      </c>
    </row>
    <row r="24" spans="2:18" ht="30.75" customHeight="1" x14ac:dyDescent="0.25">
      <c r="B24" s="49"/>
      <c r="C24" s="355"/>
      <c r="D24" s="356"/>
      <c r="E24" s="333" t="s">
        <v>21</v>
      </c>
      <c r="F24" s="334"/>
      <c r="G24" s="233" t="s">
        <v>266</v>
      </c>
      <c r="H24" s="204">
        <v>0</v>
      </c>
      <c r="I24" s="178" t="s">
        <v>132</v>
      </c>
      <c r="J24" s="247">
        <v>0</v>
      </c>
      <c r="K24" s="50" t="s">
        <v>62</v>
      </c>
      <c r="L24" s="5">
        <v>0</v>
      </c>
      <c r="M24" s="242"/>
      <c r="N24" s="5">
        <v>23550000</v>
      </c>
      <c r="O24" s="5">
        <f>J23-M23+N23</f>
        <v>23550000</v>
      </c>
      <c r="P24" s="5">
        <v>1066028.68</v>
      </c>
      <c r="Q24" s="228">
        <f>O23-P23</f>
        <v>22483971.32</v>
      </c>
      <c r="R24" s="242">
        <f>P24/O24*100</f>
        <v>4.5266610615711249</v>
      </c>
    </row>
    <row r="25" spans="2:18" ht="25.5" customHeight="1" x14ac:dyDescent="0.25">
      <c r="B25" s="192"/>
      <c r="C25" s="342"/>
      <c r="D25" s="343"/>
      <c r="E25" s="342"/>
      <c r="F25" s="343"/>
      <c r="G25" s="193"/>
      <c r="H25" s="194"/>
      <c r="I25" s="195" t="s">
        <v>46</v>
      </c>
      <c r="J25" s="196">
        <f>J6+J19+J21+J23</f>
        <v>34600000</v>
      </c>
      <c r="K25" s="196"/>
      <c r="L25" s="196">
        <f>L6+L19+L21+L23</f>
        <v>34600000</v>
      </c>
      <c r="M25" s="196">
        <f>M21+M19+M6+M23</f>
        <v>0</v>
      </c>
      <c r="N25" s="196">
        <f>N21+N19+N6+N23</f>
        <v>29020000</v>
      </c>
      <c r="O25" s="196">
        <f>O6+O19+O21+O23</f>
        <v>63620000</v>
      </c>
      <c r="P25" s="196">
        <f>P21+P19+P6+P23</f>
        <v>4766231.76</v>
      </c>
      <c r="Q25" s="196">
        <f>Q21+Q19+Q6+Q23</f>
        <v>58853768.240000002</v>
      </c>
      <c r="R25" s="197">
        <f t="shared" si="1"/>
        <v>7.4917192077962902</v>
      </c>
    </row>
    <row r="26" spans="2:18" ht="15" customHeight="1" x14ac:dyDescent="0.25">
      <c r="B26" s="331" t="s">
        <v>231</v>
      </c>
      <c r="C26" s="331"/>
      <c r="D26" s="331"/>
      <c r="E26" s="331"/>
      <c r="F26" s="331"/>
      <c r="G26" s="331"/>
      <c r="H26" s="331"/>
      <c r="I26" s="331"/>
      <c r="J26" s="331"/>
      <c r="K26" s="331"/>
    </row>
    <row r="27" spans="2:18" hidden="1" x14ac:dyDescent="0.25">
      <c r="B27" s="332" t="s">
        <v>233</v>
      </c>
      <c r="C27" s="332"/>
      <c r="D27" s="332"/>
      <c r="E27" s="332"/>
      <c r="F27" s="332"/>
      <c r="G27" s="332"/>
      <c r="H27" s="332"/>
      <c r="I27" s="332"/>
    </row>
  </sheetData>
  <mergeCells count="43">
    <mergeCell ref="H10:H11"/>
    <mergeCell ref="E20:F20"/>
    <mergeCell ref="B19:I19"/>
    <mergeCell ref="B27:I27"/>
    <mergeCell ref="B26:K26"/>
    <mergeCell ref="C22:D22"/>
    <mergeCell ref="E22:F22"/>
    <mergeCell ref="C25:D25"/>
    <mergeCell ref="C15:D15"/>
    <mergeCell ref="E15:F15"/>
    <mergeCell ref="C20:D20"/>
    <mergeCell ref="E25:F25"/>
    <mergeCell ref="E14:F14"/>
    <mergeCell ref="B21:I21"/>
    <mergeCell ref="C16:D16"/>
    <mergeCell ref="B23:I23"/>
    <mergeCell ref="B3:R3"/>
    <mergeCell ref="C5:D5"/>
    <mergeCell ref="E5:F5"/>
    <mergeCell ref="B6:I6"/>
    <mergeCell ref="C7:D7"/>
    <mergeCell ref="E7:F7"/>
    <mergeCell ref="C8:D8"/>
    <mergeCell ref="E8:F8"/>
    <mergeCell ref="C9:D9"/>
    <mergeCell ref="E9:F9"/>
    <mergeCell ref="C12:D12"/>
    <mergeCell ref="E12:F12"/>
    <mergeCell ref="E10:F10"/>
    <mergeCell ref="E11:F11"/>
    <mergeCell ref="C10:D10"/>
    <mergeCell ref="C11:D11"/>
    <mergeCell ref="C24:D24"/>
    <mergeCell ref="E24:F24"/>
    <mergeCell ref="E16:F16"/>
    <mergeCell ref="C17:D17"/>
    <mergeCell ref="E17:F17"/>
    <mergeCell ref="H12:H18"/>
    <mergeCell ref="C14:D14"/>
    <mergeCell ref="C13:D13"/>
    <mergeCell ref="E13:F13"/>
    <mergeCell ref="C18:D18"/>
    <mergeCell ref="E18:F18"/>
  </mergeCells>
  <printOptions horizontalCentered="1"/>
  <pageMargins left="0.51181102362204722" right="0.31496062992125984" top="0.35433070866141736" bottom="0.35433070866141736" header="0.31496062992125984" footer="0.31496062992125984"/>
  <pageSetup paperSize="9" scale="46"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AC30"/>
  <sheetViews>
    <sheetView topLeftCell="A10" zoomScale="80" zoomScaleNormal="80" workbookViewId="0">
      <selection activeCell="O9" sqref="O9"/>
    </sheetView>
  </sheetViews>
  <sheetFormatPr defaultColWidth="9.140625" defaultRowHeight="15" x14ac:dyDescent="0.25"/>
  <cols>
    <col min="1" max="1" width="3.5703125" style="1" customWidth="1"/>
    <col min="2" max="2" width="15.140625" style="1" customWidth="1"/>
    <col min="3" max="3" width="9.140625" style="1"/>
    <col min="4" max="4" width="16.7109375" style="1" customWidth="1"/>
    <col min="5" max="5" width="9.140625" style="1"/>
    <col min="6" max="6" width="39" style="1" customWidth="1"/>
    <col min="7" max="8" width="14" style="1" customWidth="1"/>
    <col min="9" max="9" width="34.7109375" style="1" customWidth="1"/>
    <col min="10" max="10" width="14.7109375" style="1" customWidth="1"/>
    <col min="11" max="11" width="28.42578125" style="6" customWidth="1"/>
    <col min="12" max="12" width="9.140625" style="1"/>
    <col min="13" max="13" width="10.140625" style="1" bestFit="1" customWidth="1"/>
    <col min="14" max="16384" width="9.140625" style="1"/>
  </cols>
  <sheetData>
    <row r="3" spans="2:29" ht="20.25" customHeight="1" x14ac:dyDescent="0.25">
      <c r="B3" s="344" t="s">
        <v>289</v>
      </c>
      <c r="C3" s="344"/>
      <c r="D3" s="344"/>
      <c r="E3" s="344"/>
      <c r="F3" s="344"/>
      <c r="G3" s="344"/>
      <c r="H3" s="344"/>
      <c r="I3" s="344"/>
      <c r="J3" s="344"/>
      <c r="K3" s="344"/>
    </row>
    <row r="5" spans="2:29" ht="44.25" customHeight="1" x14ac:dyDescent="0.25">
      <c r="B5" s="254" t="s">
        <v>0</v>
      </c>
      <c r="C5" s="340" t="s">
        <v>1</v>
      </c>
      <c r="D5" s="340"/>
      <c r="E5" s="340" t="s">
        <v>2</v>
      </c>
      <c r="F5" s="340"/>
      <c r="G5" s="254" t="s">
        <v>27</v>
      </c>
      <c r="H5" s="254" t="s">
        <v>52</v>
      </c>
      <c r="I5" s="254" t="s">
        <v>28</v>
      </c>
      <c r="J5" s="254" t="s">
        <v>282</v>
      </c>
      <c r="K5" s="254" t="s">
        <v>25</v>
      </c>
    </row>
    <row r="6" spans="2:29" s="96" customFormat="1" ht="18.75" customHeight="1" x14ac:dyDescent="0.25">
      <c r="B6" s="341" t="s">
        <v>22</v>
      </c>
      <c r="C6" s="341"/>
      <c r="D6" s="341"/>
      <c r="E6" s="341"/>
      <c r="F6" s="341"/>
      <c r="G6" s="341"/>
      <c r="H6" s="341"/>
      <c r="I6" s="341"/>
      <c r="J6" s="180">
        <f>SUM(J7:J17)</f>
        <v>65998000</v>
      </c>
      <c r="K6" s="181"/>
    </row>
    <row r="7" spans="2:29" s="4" customFormat="1" ht="34.5" customHeight="1" x14ac:dyDescent="0.25">
      <c r="B7" s="267" t="s">
        <v>214</v>
      </c>
      <c r="C7" s="369" t="s">
        <v>270</v>
      </c>
      <c r="D7" s="370"/>
      <c r="E7" s="366" t="s">
        <v>261</v>
      </c>
      <c r="F7" s="367"/>
      <c r="G7" s="268" t="s">
        <v>281</v>
      </c>
      <c r="H7" s="228">
        <v>2500000</v>
      </c>
      <c r="I7" s="264" t="s">
        <v>29</v>
      </c>
      <c r="J7" s="201">
        <v>100000</v>
      </c>
      <c r="K7" s="50" t="s">
        <v>62</v>
      </c>
    </row>
    <row r="8" spans="2:29" s="4" customFormat="1" ht="48.75" customHeight="1" x14ac:dyDescent="0.25">
      <c r="B8" s="267" t="s">
        <v>4</v>
      </c>
      <c r="C8" s="369" t="s">
        <v>181</v>
      </c>
      <c r="D8" s="370"/>
      <c r="E8" s="366" t="s">
        <v>260</v>
      </c>
      <c r="F8" s="367"/>
      <c r="G8" s="268" t="s">
        <v>283</v>
      </c>
      <c r="H8" s="228">
        <v>60000000</v>
      </c>
      <c r="I8" s="264" t="s">
        <v>30</v>
      </c>
      <c r="J8" s="201">
        <v>36000000</v>
      </c>
      <c r="K8" s="50" t="s">
        <v>62</v>
      </c>
      <c r="T8" s="270"/>
      <c r="U8" s="374"/>
      <c r="V8" s="374"/>
      <c r="W8" s="375"/>
      <c r="X8" s="375"/>
      <c r="Y8" s="271"/>
      <c r="Z8" s="272"/>
      <c r="AA8" s="273"/>
      <c r="AB8" s="274"/>
      <c r="AC8" s="275"/>
    </row>
    <row r="9" spans="2:29" s="4" customFormat="1" ht="84.75" customHeight="1" x14ac:dyDescent="0.25">
      <c r="B9" s="267" t="s">
        <v>7</v>
      </c>
      <c r="C9" s="369" t="s">
        <v>182</v>
      </c>
      <c r="D9" s="370"/>
      <c r="E9" s="366" t="s">
        <v>284</v>
      </c>
      <c r="F9" s="367"/>
      <c r="G9" s="268" t="s">
        <v>283</v>
      </c>
      <c r="H9" s="228">
        <v>150000000</v>
      </c>
      <c r="I9" s="264" t="s">
        <v>31</v>
      </c>
      <c r="J9" s="201">
        <v>25000000</v>
      </c>
      <c r="K9" s="50" t="s">
        <v>62</v>
      </c>
      <c r="T9" s="270"/>
      <c r="U9" s="374"/>
      <c r="V9" s="374"/>
      <c r="W9" s="375"/>
      <c r="X9" s="375"/>
      <c r="Y9" s="271"/>
      <c r="Z9" s="272"/>
      <c r="AA9" s="273"/>
      <c r="AB9" s="274"/>
      <c r="AC9" s="275"/>
    </row>
    <row r="10" spans="2:29" s="4" customFormat="1" ht="30.75" customHeight="1" x14ac:dyDescent="0.25">
      <c r="B10" s="229" t="s">
        <v>294</v>
      </c>
      <c r="C10" s="369" t="s">
        <v>241</v>
      </c>
      <c r="D10" s="370"/>
      <c r="E10" s="366" t="s">
        <v>223</v>
      </c>
      <c r="F10" s="367"/>
      <c r="G10" s="215" t="s">
        <v>286</v>
      </c>
      <c r="H10" s="362">
        <v>1000000</v>
      </c>
      <c r="I10" s="264" t="s">
        <v>40</v>
      </c>
      <c r="J10" s="201">
        <v>500000</v>
      </c>
      <c r="K10" s="266" t="s">
        <v>66</v>
      </c>
      <c r="T10" s="270"/>
      <c r="U10" s="374"/>
      <c r="V10" s="374"/>
      <c r="W10" s="375"/>
      <c r="X10" s="375"/>
      <c r="Y10" s="271"/>
      <c r="Z10" s="272"/>
      <c r="AA10" s="273"/>
      <c r="AB10" s="274"/>
      <c r="AC10" s="275"/>
    </row>
    <row r="11" spans="2:29" s="4" customFormat="1" ht="30.75" customHeight="1" x14ac:dyDescent="0.25">
      <c r="B11" s="229" t="s">
        <v>294</v>
      </c>
      <c r="C11" s="369" t="s">
        <v>241</v>
      </c>
      <c r="D11" s="370"/>
      <c r="E11" s="366" t="s">
        <v>224</v>
      </c>
      <c r="F11" s="367"/>
      <c r="G11" s="215" t="s">
        <v>286</v>
      </c>
      <c r="H11" s="363"/>
      <c r="I11" s="264" t="s">
        <v>41</v>
      </c>
      <c r="J11" s="201">
        <v>500000</v>
      </c>
      <c r="K11" s="266" t="s">
        <v>66</v>
      </c>
      <c r="M11" s="93"/>
      <c r="T11" s="270"/>
      <c r="U11" s="374"/>
      <c r="V11" s="374"/>
      <c r="W11" s="375"/>
      <c r="X11" s="375"/>
      <c r="Y11" s="276"/>
      <c r="Z11" s="376"/>
      <c r="AA11" s="273"/>
      <c r="AB11" s="274"/>
      <c r="AC11" s="277"/>
    </row>
    <row r="12" spans="2:29" s="4" customFormat="1" ht="30.75" customHeight="1" x14ac:dyDescent="0.25">
      <c r="B12" s="267" t="s">
        <v>217</v>
      </c>
      <c r="C12" s="369" t="s">
        <v>183</v>
      </c>
      <c r="D12" s="370"/>
      <c r="E12" s="366" t="s">
        <v>276</v>
      </c>
      <c r="F12" s="367"/>
      <c r="G12" s="265" t="s">
        <v>281</v>
      </c>
      <c r="H12" s="359">
        <v>50000000</v>
      </c>
      <c r="I12" s="264" t="s">
        <v>32</v>
      </c>
      <c r="J12" s="201">
        <v>700000</v>
      </c>
      <c r="K12" s="50" t="s">
        <v>63</v>
      </c>
      <c r="T12" s="270"/>
      <c r="U12" s="374"/>
      <c r="V12" s="374"/>
      <c r="W12" s="375"/>
      <c r="X12" s="375"/>
      <c r="Y12" s="276"/>
      <c r="Z12" s="376"/>
      <c r="AA12" s="273"/>
      <c r="AB12" s="274"/>
      <c r="AC12" s="277"/>
    </row>
    <row r="13" spans="2:29" s="4" customFormat="1" ht="30.75" customHeight="1" x14ac:dyDescent="0.25">
      <c r="B13" s="267" t="s">
        <v>217</v>
      </c>
      <c r="C13" s="369" t="s">
        <v>183</v>
      </c>
      <c r="D13" s="370"/>
      <c r="E13" s="366" t="s">
        <v>279</v>
      </c>
      <c r="F13" s="367"/>
      <c r="G13" s="265" t="s">
        <v>281</v>
      </c>
      <c r="H13" s="360"/>
      <c r="I13" s="264" t="s">
        <v>210</v>
      </c>
      <c r="J13" s="201">
        <v>100000</v>
      </c>
      <c r="K13" s="50" t="s">
        <v>63</v>
      </c>
      <c r="T13" s="270"/>
      <c r="U13" s="374"/>
      <c r="V13" s="374"/>
      <c r="W13" s="375"/>
      <c r="X13" s="375"/>
      <c r="Y13" s="276"/>
      <c r="Z13" s="378"/>
      <c r="AA13" s="273"/>
      <c r="AB13" s="274"/>
      <c r="AC13" s="275"/>
    </row>
    <row r="14" spans="2:29" s="4" customFormat="1" ht="27" customHeight="1" x14ac:dyDescent="0.25">
      <c r="B14" s="267" t="s">
        <v>217</v>
      </c>
      <c r="C14" s="369" t="s">
        <v>183</v>
      </c>
      <c r="D14" s="370"/>
      <c r="E14" s="366" t="s">
        <v>277</v>
      </c>
      <c r="F14" s="367"/>
      <c r="G14" s="265" t="s">
        <v>281</v>
      </c>
      <c r="H14" s="360"/>
      <c r="I14" s="264" t="s">
        <v>34</v>
      </c>
      <c r="J14" s="201">
        <v>850000</v>
      </c>
      <c r="K14" s="50" t="s">
        <v>63</v>
      </c>
      <c r="T14" s="270"/>
      <c r="U14" s="374"/>
      <c r="V14" s="374"/>
      <c r="W14" s="375"/>
      <c r="X14" s="375"/>
      <c r="Y14" s="276"/>
      <c r="Z14" s="378"/>
      <c r="AA14" s="273"/>
      <c r="AB14" s="274"/>
      <c r="AC14" s="275"/>
    </row>
    <row r="15" spans="2:29" s="4" customFormat="1" ht="30.75" customHeight="1" x14ac:dyDescent="0.25">
      <c r="B15" s="267" t="s">
        <v>217</v>
      </c>
      <c r="C15" s="369" t="s">
        <v>183</v>
      </c>
      <c r="D15" s="370"/>
      <c r="E15" s="366" t="s">
        <v>275</v>
      </c>
      <c r="F15" s="367"/>
      <c r="G15" s="265" t="s">
        <v>281</v>
      </c>
      <c r="H15" s="360"/>
      <c r="I15" s="264" t="s">
        <v>33</v>
      </c>
      <c r="J15" s="201">
        <v>800000</v>
      </c>
      <c r="K15" s="50" t="s">
        <v>228</v>
      </c>
      <c r="T15" s="270"/>
      <c r="U15" s="374"/>
      <c r="V15" s="374"/>
      <c r="W15" s="375"/>
      <c r="X15" s="375"/>
      <c r="Y15" s="276"/>
      <c r="Z15" s="378"/>
      <c r="AA15" s="273"/>
      <c r="AB15" s="274"/>
      <c r="AC15" s="275"/>
    </row>
    <row r="16" spans="2:29" s="4" customFormat="1" ht="30.75" customHeight="1" x14ac:dyDescent="0.25">
      <c r="B16" s="267" t="s">
        <v>217</v>
      </c>
      <c r="C16" s="369" t="s">
        <v>183</v>
      </c>
      <c r="D16" s="370"/>
      <c r="E16" s="366" t="s">
        <v>274</v>
      </c>
      <c r="F16" s="367"/>
      <c r="G16" s="265" t="s">
        <v>281</v>
      </c>
      <c r="H16" s="360"/>
      <c r="I16" s="264" t="s">
        <v>37</v>
      </c>
      <c r="J16" s="201">
        <v>500000</v>
      </c>
      <c r="K16" s="50" t="s">
        <v>227</v>
      </c>
      <c r="T16" s="270"/>
      <c r="U16" s="374"/>
      <c r="V16" s="374"/>
      <c r="W16" s="375"/>
      <c r="X16" s="375"/>
      <c r="Y16" s="276"/>
      <c r="Z16" s="378"/>
      <c r="AA16" s="273"/>
      <c r="AB16" s="274"/>
      <c r="AC16" s="275"/>
    </row>
    <row r="17" spans="2:29" ht="30.75" customHeight="1" x14ac:dyDescent="0.25">
      <c r="B17" s="267" t="s">
        <v>217</v>
      </c>
      <c r="C17" s="369" t="s">
        <v>183</v>
      </c>
      <c r="D17" s="370"/>
      <c r="E17" s="366" t="s">
        <v>20</v>
      </c>
      <c r="F17" s="367"/>
      <c r="G17" s="265" t="s">
        <v>281</v>
      </c>
      <c r="H17" s="361"/>
      <c r="I17" s="264" t="s">
        <v>42</v>
      </c>
      <c r="J17" s="201">
        <v>948000</v>
      </c>
      <c r="K17" s="50" t="s">
        <v>62</v>
      </c>
      <c r="T17" s="270"/>
      <c r="U17" s="374"/>
      <c r="V17" s="374"/>
      <c r="W17" s="375"/>
      <c r="X17" s="375"/>
      <c r="Y17" s="276"/>
      <c r="Z17" s="378"/>
      <c r="AA17" s="273"/>
      <c r="AB17" s="274"/>
      <c r="AC17" s="275"/>
    </row>
    <row r="18" spans="2:29" s="4" customFormat="1" ht="26.25" customHeight="1" x14ac:dyDescent="0.25">
      <c r="B18" s="371" t="s">
        <v>291</v>
      </c>
      <c r="C18" s="372"/>
      <c r="D18" s="372"/>
      <c r="E18" s="372"/>
      <c r="F18" s="372"/>
      <c r="G18" s="372"/>
      <c r="H18" s="372"/>
      <c r="I18" s="373"/>
      <c r="J18" s="263">
        <v>12000000</v>
      </c>
      <c r="K18" s="188"/>
      <c r="T18" s="270"/>
      <c r="U18" s="374"/>
      <c r="V18" s="374"/>
      <c r="W18" s="375"/>
      <c r="X18" s="375"/>
      <c r="Y18" s="276"/>
      <c r="Z18" s="378"/>
      <c r="AA18" s="273"/>
      <c r="AB18" s="274"/>
      <c r="AC18" s="275"/>
    </row>
    <row r="19" spans="2:29" s="4" customFormat="1" ht="34.5" customHeight="1" x14ac:dyDescent="0.25">
      <c r="B19" s="260" t="s">
        <v>288</v>
      </c>
      <c r="C19" s="369" t="s">
        <v>183</v>
      </c>
      <c r="D19" s="370"/>
      <c r="E19" s="366" t="s">
        <v>292</v>
      </c>
      <c r="F19" s="367"/>
      <c r="G19" s="257" t="s">
        <v>286</v>
      </c>
      <c r="H19" s="262">
        <v>12000000</v>
      </c>
      <c r="I19" s="261" t="s">
        <v>293</v>
      </c>
      <c r="J19" s="201">
        <v>12000000</v>
      </c>
      <c r="K19" s="50" t="s">
        <v>63</v>
      </c>
    </row>
    <row r="20" spans="2:29" s="96" customFormat="1" ht="23.25" customHeight="1" x14ac:dyDescent="0.25">
      <c r="B20" s="348" t="s">
        <v>23</v>
      </c>
      <c r="C20" s="349"/>
      <c r="D20" s="349"/>
      <c r="E20" s="349"/>
      <c r="F20" s="349"/>
      <c r="G20" s="349"/>
      <c r="H20" s="349"/>
      <c r="I20" s="350"/>
      <c r="J20" s="185">
        <f>J21</f>
        <v>1000000</v>
      </c>
      <c r="K20" s="186"/>
    </row>
    <row r="21" spans="2:29" ht="49.5" customHeight="1" x14ac:dyDescent="0.25">
      <c r="B21" s="255" t="s">
        <v>9</v>
      </c>
      <c r="C21" s="279" t="s">
        <v>245</v>
      </c>
      <c r="D21" s="279"/>
      <c r="E21" s="280" t="s">
        <v>290</v>
      </c>
      <c r="F21" s="280"/>
      <c r="G21" s="249" t="s">
        <v>285</v>
      </c>
      <c r="H21" s="228">
        <v>1000000</v>
      </c>
      <c r="I21" s="248" t="s">
        <v>43</v>
      </c>
      <c r="J21" s="201">
        <v>1000000</v>
      </c>
      <c r="K21" s="50" t="s">
        <v>143</v>
      </c>
      <c r="Q21" s="377"/>
      <c r="R21" s="377"/>
    </row>
    <row r="22" spans="2:29" ht="22.5" customHeight="1" x14ac:dyDescent="0.25">
      <c r="B22" s="348" t="s">
        <v>24</v>
      </c>
      <c r="C22" s="349"/>
      <c r="D22" s="349"/>
      <c r="E22" s="349"/>
      <c r="F22" s="349"/>
      <c r="G22" s="349"/>
      <c r="H22" s="349"/>
      <c r="I22" s="350"/>
      <c r="J22" s="185">
        <f>SUM(J23:J23)</f>
        <v>2800000</v>
      </c>
      <c r="K22" s="188"/>
    </row>
    <row r="23" spans="2:29" ht="47.25" customHeight="1" x14ac:dyDescent="0.25">
      <c r="B23" s="255" t="s">
        <v>287</v>
      </c>
      <c r="C23" s="279" t="s">
        <v>229</v>
      </c>
      <c r="D23" s="279"/>
      <c r="E23" s="280" t="s">
        <v>272</v>
      </c>
      <c r="F23" s="280"/>
      <c r="G23" s="249" t="s">
        <v>286</v>
      </c>
      <c r="H23" s="228">
        <v>2800000</v>
      </c>
      <c r="I23" s="248" t="s">
        <v>45</v>
      </c>
      <c r="J23" s="201">
        <v>2800000</v>
      </c>
      <c r="K23" s="50" t="s">
        <v>280</v>
      </c>
    </row>
    <row r="24" spans="2:29" ht="30.75" hidden="1" customHeight="1" x14ac:dyDescent="0.25">
      <c r="B24" s="345" t="s">
        <v>230</v>
      </c>
      <c r="C24" s="346"/>
      <c r="D24" s="346"/>
      <c r="E24" s="346"/>
      <c r="F24" s="346"/>
      <c r="G24" s="346"/>
      <c r="H24" s="346"/>
      <c r="I24" s="347"/>
      <c r="J24" s="189">
        <f>J25</f>
        <v>85000</v>
      </c>
      <c r="K24" s="188"/>
    </row>
    <row r="25" spans="2:29" ht="30.75" hidden="1" customHeight="1" x14ac:dyDescent="0.25">
      <c r="B25" s="61"/>
      <c r="C25" s="178"/>
      <c r="D25" s="179"/>
      <c r="E25" s="252"/>
      <c r="F25" s="253"/>
      <c r="G25" s="251" t="s">
        <v>242</v>
      </c>
      <c r="H25" s="204">
        <v>85000</v>
      </c>
      <c r="I25" s="250"/>
      <c r="J25" s="63">
        <v>85000</v>
      </c>
      <c r="K25" s="50" t="s">
        <v>63</v>
      </c>
    </row>
    <row r="26" spans="2:29" ht="22.5" customHeight="1" x14ac:dyDescent="0.25">
      <c r="B26" s="348" t="s">
        <v>21</v>
      </c>
      <c r="C26" s="349"/>
      <c r="D26" s="349"/>
      <c r="E26" s="349"/>
      <c r="F26" s="349"/>
      <c r="G26" s="349"/>
      <c r="H26" s="349"/>
      <c r="I26" s="350"/>
      <c r="J26" s="185"/>
      <c r="K26" s="188"/>
    </row>
    <row r="27" spans="2:29" ht="30.75" customHeight="1" x14ac:dyDescent="0.25">
      <c r="B27" s="49"/>
      <c r="C27" s="355"/>
      <c r="D27" s="356"/>
      <c r="E27" s="333" t="s">
        <v>21</v>
      </c>
      <c r="F27" s="334"/>
      <c r="G27" s="251" t="s">
        <v>286</v>
      </c>
      <c r="H27" s="240">
        <v>0</v>
      </c>
      <c r="I27" s="178" t="s">
        <v>132</v>
      </c>
      <c r="J27" s="241">
        <v>2000</v>
      </c>
      <c r="K27" s="50" t="s">
        <v>62</v>
      </c>
    </row>
    <row r="28" spans="2:29" ht="25.5" customHeight="1" x14ac:dyDescent="0.25">
      <c r="B28" s="192"/>
      <c r="C28" s="342"/>
      <c r="D28" s="343"/>
      <c r="E28" s="342"/>
      <c r="F28" s="343"/>
      <c r="G28" s="193"/>
      <c r="H28" s="194"/>
      <c r="I28" s="195" t="s">
        <v>46</v>
      </c>
      <c r="J28" s="196">
        <f>J6+J18+J20+J22+J26</f>
        <v>81798000</v>
      </c>
      <c r="K28" s="196"/>
    </row>
    <row r="29" spans="2:29" ht="15" customHeight="1" x14ac:dyDescent="0.25">
      <c r="B29" s="331" t="s">
        <v>231</v>
      </c>
      <c r="C29" s="331"/>
      <c r="D29" s="331"/>
      <c r="E29" s="331"/>
      <c r="F29" s="331"/>
      <c r="G29" s="331"/>
      <c r="H29" s="331"/>
      <c r="I29" s="331"/>
      <c r="J29" s="331"/>
      <c r="K29" s="331"/>
    </row>
    <row r="30" spans="2:29" hidden="1" x14ac:dyDescent="0.25">
      <c r="B30" s="332" t="s">
        <v>233</v>
      </c>
      <c r="C30" s="332"/>
      <c r="D30" s="332"/>
      <c r="E30" s="332"/>
      <c r="F30" s="332"/>
      <c r="G30" s="332"/>
      <c r="H30" s="332"/>
      <c r="I30" s="332"/>
    </row>
  </sheetData>
  <mergeCells count="70">
    <mergeCell ref="Q21:R21"/>
    <mergeCell ref="U13:V13"/>
    <mergeCell ref="W13:X13"/>
    <mergeCell ref="Z13:Z18"/>
    <mergeCell ref="U14:V14"/>
    <mergeCell ref="W14:X14"/>
    <mergeCell ref="U15:V15"/>
    <mergeCell ref="W15:X15"/>
    <mergeCell ref="U16:V16"/>
    <mergeCell ref="W16:X16"/>
    <mergeCell ref="U17:V17"/>
    <mergeCell ref="W17:X17"/>
    <mergeCell ref="U18:V18"/>
    <mergeCell ref="W18:X18"/>
    <mergeCell ref="U11:V11"/>
    <mergeCell ref="W11:X11"/>
    <mergeCell ref="Z11:Z12"/>
    <mergeCell ref="U12:V12"/>
    <mergeCell ref="W12:X12"/>
    <mergeCell ref="U8:V8"/>
    <mergeCell ref="W8:X8"/>
    <mergeCell ref="U9:V9"/>
    <mergeCell ref="W9:X9"/>
    <mergeCell ref="U10:V10"/>
    <mergeCell ref="W10:X10"/>
    <mergeCell ref="B3:K3"/>
    <mergeCell ref="C5:D5"/>
    <mergeCell ref="E5:F5"/>
    <mergeCell ref="B6:I6"/>
    <mergeCell ref="C7:D7"/>
    <mergeCell ref="E7:F7"/>
    <mergeCell ref="C8:D8"/>
    <mergeCell ref="E8:F8"/>
    <mergeCell ref="C9:D9"/>
    <mergeCell ref="E9:F9"/>
    <mergeCell ref="C10:D10"/>
    <mergeCell ref="E10:F10"/>
    <mergeCell ref="H10:H11"/>
    <mergeCell ref="C11:D11"/>
    <mergeCell ref="E11:F11"/>
    <mergeCell ref="C12:D12"/>
    <mergeCell ref="E12:F12"/>
    <mergeCell ref="H12:H17"/>
    <mergeCell ref="C13:D13"/>
    <mergeCell ref="E13:F13"/>
    <mergeCell ref="C14:D14"/>
    <mergeCell ref="E14:F14"/>
    <mergeCell ref="E21:F21"/>
    <mergeCell ref="B22:I22"/>
    <mergeCell ref="C15:D15"/>
    <mergeCell ref="E15:F15"/>
    <mergeCell ref="C16:D16"/>
    <mergeCell ref="E16:F16"/>
    <mergeCell ref="C17:D17"/>
    <mergeCell ref="E17:F17"/>
    <mergeCell ref="C19:D19"/>
    <mergeCell ref="B18:I18"/>
    <mergeCell ref="E19:F19"/>
    <mergeCell ref="B20:I20"/>
    <mergeCell ref="C21:D21"/>
    <mergeCell ref="C28:D28"/>
    <mergeCell ref="E28:F28"/>
    <mergeCell ref="B29:K29"/>
    <mergeCell ref="B30:I30"/>
    <mergeCell ref="C23:D23"/>
    <mergeCell ref="E23:F23"/>
    <mergeCell ref="B24:I24"/>
    <mergeCell ref="B26:I26"/>
    <mergeCell ref="C27:D27"/>
    <mergeCell ref="E27:F27"/>
  </mergeCells>
  <pageMargins left="0.51181102362204722" right="0.31496062992125984" top="0.35433070866141736" bottom="0.35433070866141736" header="0.31496062992125984" footer="0.31496062992125984"/>
  <pageSetup paperSize="9" scale="46" orientation="landscape"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M28"/>
  <sheetViews>
    <sheetView tabSelected="1" topLeftCell="B10" zoomScale="80" zoomScaleNormal="80" workbookViewId="0">
      <selection activeCell="B27" sqref="B27:K27"/>
    </sheetView>
  </sheetViews>
  <sheetFormatPr defaultColWidth="9.140625" defaultRowHeight="15" x14ac:dyDescent="0.25"/>
  <cols>
    <col min="1" max="1" width="3.5703125" style="1" customWidth="1"/>
    <col min="2" max="2" width="15.140625" style="1" customWidth="1"/>
    <col min="3" max="3" width="9.140625" style="1"/>
    <col min="4" max="4" width="16.7109375" style="1" customWidth="1"/>
    <col min="5" max="5" width="9.140625" style="1"/>
    <col min="6" max="6" width="39" style="1" customWidth="1"/>
    <col min="7" max="8" width="14" style="1" customWidth="1"/>
    <col min="9" max="9" width="34.7109375" style="1" customWidth="1"/>
    <col min="10" max="10" width="14.7109375" style="1" customWidth="1"/>
    <col min="11" max="11" width="28.42578125" style="6" customWidth="1"/>
    <col min="12" max="12" width="9.140625" style="1"/>
    <col min="13" max="13" width="10.140625" style="1" bestFit="1" customWidth="1"/>
    <col min="14" max="16384" width="9.140625" style="1"/>
  </cols>
  <sheetData>
    <row r="3" spans="2:13" ht="20.25" customHeight="1" x14ac:dyDescent="0.25">
      <c r="B3" s="344" t="s">
        <v>289</v>
      </c>
      <c r="C3" s="344"/>
      <c r="D3" s="344"/>
      <c r="E3" s="344"/>
      <c r="F3" s="344"/>
      <c r="G3" s="344"/>
      <c r="H3" s="344"/>
      <c r="I3" s="344"/>
      <c r="J3" s="344"/>
      <c r="K3" s="344"/>
    </row>
    <row r="5" spans="2:13" ht="44.25" customHeight="1" x14ac:dyDescent="0.25">
      <c r="B5" s="259" t="s">
        <v>0</v>
      </c>
      <c r="C5" s="340" t="s">
        <v>1</v>
      </c>
      <c r="D5" s="340"/>
      <c r="E5" s="340" t="s">
        <v>2</v>
      </c>
      <c r="F5" s="340"/>
      <c r="G5" s="259" t="s">
        <v>27</v>
      </c>
      <c r="H5" s="259" t="s">
        <v>52</v>
      </c>
      <c r="I5" s="259" t="s">
        <v>28</v>
      </c>
      <c r="J5" s="259" t="s">
        <v>282</v>
      </c>
      <c r="K5" s="259" t="s">
        <v>25</v>
      </c>
    </row>
    <row r="6" spans="2:13" s="96" customFormat="1" ht="18.75" customHeight="1" x14ac:dyDescent="0.25">
      <c r="B6" s="341" t="s">
        <v>22</v>
      </c>
      <c r="C6" s="341"/>
      <c r="D6" s="341"/>
      <c r="E6" s="341"/>
      <c r="F6" s="341"/>
      <c r="G6" s="341"/>
      <c r="H6" s="341"/>
      <c r="I6" s="341"/>
      <c r="J6" s="180">
        <f>SUM(J7:J17)</f>
        <v>65998000</v>
      </c>
      <c r="K6" s="181"/>
    </row>
    <row r="7" spans="2:13" s="4" customFormat="1" ht="34.5" customHeight="1" x14ac:dyDescent="0.25">
      <c r="B7" s="267" t="s">
        <v>214</v>
      </c>
      <c r="C7" s="369" t="s">
        <v>270</v>
      </c>
      <c r="D7" s="370"/>
      <c r="E7" s="366" t="s">
        <v>261</v>
      </c>
      <c r="F7" s="367"/>
      <c r="G7" s="268" t="s">
        <v>281</v>
      </c>
      <c r="H7" s="228">
        <v>2500000</v>
      </c>
      <c r="I7" s="264" t="s">
        <v>29</v>
      </c>
      <c r="J7" s="201">
        <v>100000</v>
      </c>
      <c r="K7" s="50" t="s">
        <v>62</v>
      </c>
    </row>
    <row r="8" spans="2:13" s="4" customFormat="1" ht="48.75" customHeight="1" x14ac:dyDescent="0.25">
      <c r="B8" s="267" t="s">
        <v>4</v>
      </c>
      <c r="C8" s="369" t="s">
        <v>181</v>
      </c>
      <c r="D8" s="370"/>
      <c r="E8" s="366" t="s">
        <v>260</v>
      </c>
      <c r="F8" s="367"/>
      <c r="G8" s="268" t="s">
        <v>283</v>
      </c>
      <c r="H8" s="228">
        <v>60000000</v>
      </c>
      <c r="I8" s="264" t="s">
        <v>30</v>
      </c>
      <c r="J8" s="201">
        <v>36000000</v>
      </c>
      <c r="K8" s="50" t="s">
        <v>62</v>
      </c>
    </row>
    <row r="9" spans="2:13" s="4" customFormat="1" ht="63" customHeight="1" x14ac:dyDescent="0.25">
      <c r="B9" s="267" t="s">
        <v>7</v>
      </c>
      <c r="C9" s="369" t="s">
        <v>182</v>
      </c>
      <c r="D9" s="370"/>
      <c r="E9" s="366" t="s">
        <v>284</v>
      </c>
      <c r="F9" s="367"/>
      <c r="G9" s="268" t="s">
        <v>283</v>
      </c>
      <c r="H9" s="228">
        <v>150000000</v>
      </c>
      <c r="I9" s="264" t="s">
        <v>31</v>
      </c>
      <c r="J9" s="201">
        <v>25000000</v>
      </c>
      <c r="K9" s="50" t="s">
        <v>62</v>
      </c>
    </row>
    <row r="10" spans="2:13" s="4" customFormat="1" ht="30.75" customHeight="1" x14ac:dyDescent="0.25">
      <c r="B10" s="229" t="s">
        <v>294</v>
      </c>
      <c r="C10" s="369" t="s">
        <v>241</v>
      </c>
      <c r="D10" s="370"/>
      <c r="E10" s="366" t="s">
        <v>223</v>
      </c>
      <c r="F10" s="367"/>
      <c r="G10" s="215" t="s">
        <v>286</v>
      </c>
      <c r="H10" s="362">
        <v>1000000</v>
      </c>
      <c r="I10" s="264" t="s">
        <v>40</v>
      </c>
      <c r="J10" s="201">
        <v>500000</v>
      </c>
      <c r="K10" s="266" t="s">
        <v>66</v>
      </c>
    </row>
    <row r="11" spans="2:13" s="4" customFormat="1" ht="30.75" customHeight="1" x14ac:dyDescent="0.25">
      <c r="B11" s="229" t="s">
        <v>294</v>
      </c>
      <c r="C11" s="369" t="s">
        <v>241</v>
      </c>
      <c r="D11" s="370"/>
      <c r="E11" s="366" t="s">
        <v>224</v>
      </c>
      <c r="F11" s="367"/>
      <c r="G11" s="215" t="s">
        <v>286</v>
      </c>
      <c r="H11" s="363"/>
      <c r="I11" s="264" t="s">
        <v>41</v>
      </c>
      <c r="J11" s="201">
        <v>500000</v>
      </c>
      <c r="K11" s="266" t="s">
        <v>66</v>
      </c>
      <c r="M11" s="93"/>
    </row>
    <row r="12" spans="2:13" s="4" customFormat="1" ht="30.75" customHeight="1" x14ac:dyDescent="0.25">
      <c r="B12" s="267" t="s">
        <v>217</v>
      </c>
      <c r="C12" s="369" t="s">
        <v>183</v>
      </c>
      <c r="D12" s="370"/>
      <c r="E12" s="366" t="s">
        <v>276</v>
      </c>
      <c r="F12" s="367"/>
      <c r="G12" s="265" t="s">
        <v>281</v>
      </c>
      <c r="H12" s="362">
        <v>50000000</v>
      </c>
      <c r="I12" s="264" t="s">
        <v>32</v>
      </c>
      <c r="J12" s="201">
        <v>700000</v>
      </c>
      <c r="K12" s="50" t="s">
        <v>63</v>
      </c>
    </row>
    <row r="13" spans="2:13" s="4" customFormat="1" ht="30.75" customHeight="1" x14ac:dyDescent="0.25">
      <c r="B13" s="267" t="s">
        <v>217</v>
      </c>
      <c r="C13" s="369" t="s">
        <v>183</v>
      </c>
      <c r="D13" s="370"/>
      <c r="E13" s="366" t="s">
        <v>279</v>
      </c>
      <c r="F13" s="367"/>
      <c r="G13" s="265" t="s">
        <v>281</v>
      </c>
      <c r="H13" s="368"/>
      <c r="I13" s="264" t="s">
        <v>210</v>
      </c>
      <c r="J13" s="201">
        <v>100000</v>
      </c>
      <c r="K13" s="50" t="s">
        <v>63</v>
      </c>
    </row>
    <row r="14" spans="2:13" s="4" customFormat="1" ht="27" customHeight="1" x14ac:dyDescent="0.25">
      <c r="B14" s="267" t="s">
        <v>217</v>
      </c>
      <c r="C14" s="369" t="s">
        <v>183</v>
      </c>
      <c r="D14" s="370"/>
      <c r="E14" s="366" t="s">
        <v>277</v>
      </c>
      <c r="F14" s="367"/>
      <c r="G14" s="265" t="s">
        <v>281</v>
      </c>
      <c r="H14" s="368"/>
      <c r="I14" s="264" t="s">
        <v>34</v>
      </c>
      <c r="J14" s="201">
        <v>850000</v>
      </c>
      <c r="K14" s="50" t="s">
        <v>63</v>
      </c>
    </row>
    <row r="15" spans="2:13" s="4" customFormat="1" ht="30.75" customHeight="1" x14ac:dyDescent="0.25">
      <c r="B15" s="267" t="s">
        <v>217</v>
      </c>
      <c r="C15" s="369" t="s">
        <v>183</v>
      </c>
      <c r="D15" s="370"/>
      <c r="E15" s="366" t="s">
        <v>275</v>
      </c>
      <c r="F15" s="367"/>
      <c r="G15" s="265" t="s">
        <v>281</v>
      </c>
      <c r="H15" s="368"/>
      <c r="I15" s="264" t="s">
        <v>33</v>
      </c>
      <c r="J15" s="201">
        <v>800000</v>
      </c>
      <c r="K15" s="50" t="s">
        <v>228</v>
      </c>
    </row>
    <row r="16" spans="2:13" s="4" customFormat="1" ht="30.75" customHeight="1" x14ac:dyDescent="0.25">
      <c r="B16" s="267" t="s">
        <v>217</v>
      </c>
      <c r="C16" s="369" t="s">
        <v>183</v>
      </c>
      <c r="D16" s="370"/>
      <c r="E16" s="366" t="s">
        <v>274</v>
      </c>
      <c r="F16" s="367"/>
      <c r="G16" s="265" t="s">
        <v>281</v>
      </c>
      <c r="H16" s="368"/>
      <c r="I16" s="264" t="s">
        <v>37</v>
      </c>
      <c r="J16" s="201">
        <v>500000</v>
      </c>
      <c r="K16" s="50" t="s">
        <v>227</v>
      </c>
    </row>
    <row r="17" spans="2:11" ht="30.75" customHeight="1" x14ac:dyDescent="0.25">
      <c r="B17" s="267" t="s">
        <v>217</v>
      </c>
      <c r="C17" s="369" t="s">
        <v>183</v>
      </c>
      <c r="D17" s="370"/>
      <c r="E17" s="366" t="s">
        <v>20</v>
      </c>
      <c r="F17" s="367"/>
      <c r="G17" s="265" t="s">
        <v>281</v>
      </c>
      <c r="H17" s="363"/>
      <c r="I17" s="264" t="s">
        <v>42</v>
      </c>
      <c r="J17" s="201">
        <v>948000</v>
      </c>
      <c r="K17" s="50" t="s">
        <v>62</v>
      </c>
    </row>
    <row r="18" spans="2:11" s="4" customFormat="1" ht="26.25" customHeight="1" x14ac:dyDescent="0.25">
      <c r="B18" s="371" t="s">
        <v>291</v>
      </c>
      <c r="C18" s="372"/>
      <c r="D18" s="372"/>
      <c r="E18" s="372"/>
      <c r="F18" s="372"/>
      <c r="G18" s="372"/>
      <c r="H18" s="372"/>
      <c r="I18" s="373"/>
      <c r="J18" s="263">
        <v>12000000</v>
      </c>
      <c r="K18" s="188"/>
    </row>
    <row r="19" spans="2:11" s="4" customFormat="1" ht="34.5" customHeight="1" x14ac:dyDescent="0.25">
      <c r="B19" s="267" t="s">
        <v>288</v>
      </c>
      <c r="C19" s="369" t="s">
        <v>183</v>
      </c>
      <c r="D19" s="370"/>
      <c r="E19" s="366" t="s">
        <v>292</v>
      </c>
      <c r="F19" s="367"/>
      <c r="G19" s="265" t="s">
        <v>286</v>
      </c>
      <c r="H19" s="228">
        <v>12000000</v>
      </c>
      <c r="I19" s="269" t="s">
        <v>293</v>
      </c>
      <c r="J19" s="201">
        <v>12000000</v>
      </c>
      <c r="K19" s="50" t="s">
        <v>63</v>
      </c>
    </row>
    <row r="20" spans="2:11" s="96" customFormat="1" ht="23.25" customHeight="1" x14ac:dyDescent="0.25">
      <c r="B20" s="348" t="s">
        <v>23</v>
      </c>
      <c r="C20" s="349"/>
      <c r="D20" s="349"/>
      <c r="E20" s="349"/>
      <c r="F20" s="349"/>
      <c r="G20" s="349"/>
      <c r="H20" s="349"/>
      <c r="I20" s="350"/>
      <c r="J20" s="185">
        <v>1000000</v>
      </c>
      <c r="K20" s="186"/>
    </row>
    <row r="21" spans="2:11" ht="49.5" customHeight="1" x14ac:dyDescent="0.25">
      <c r="B21" s="260" t="s">
        <v>9</v>
      </c>
      <c r="C21" s="379" t="s">
        <v>245</v>
      </c>
      <c r="D21" s="380"/>
      <c r="E21" s="280" t="s">
        <v>290</v>
      </c>
      <c r="F21" s="280"/>
      <c r="G21" s="257" t="s">
        <v>285</v>
      </c>
      <c r="H21" s="228">
        <v>1000000</v>
      </c>
      <c r="I21" s="256" t="s">
        <v>43</v>
      </c>
      <c r="J21" s="201">
        <v>1000000</v>
      </c>
      <c r="K21" s="50" t="s">
        <v>143</v>
      </c>
    </row>
    <row r="22" spans="2:11" ht="22.5" customHeight="1" x14ac:dyDescent="0.25">
      <c r="B22" s="348" t="s">
        <v>24</v>
      </c>
      <c r="C22" s="349"/>
      <c r="D22" s="349"/>
      <c r="E22" s="349"/>
      <c r="F22" s="349"/>
      <c r="G22" s="349"/>
      <c r="H22" s="349"/>
      <c r="I22" s="350"/>
      <c r="J22" s="185">
        <v>2800000</v>
      </c>
      <c r="K22" s="188"/>
    </row>
    <row r="23" spans="2:11" ht="47.25" customHeight="1" x14ac:dyDescent="0.25">
      <c r="B23" s="260" t="s">
        <v>273</v>
      </c>
      <c r="C23" s="279" t="s">
        <v>229</v>
      </c>
      <c r="D23" s="279"/>
      <c r="E23" s="280" t="s">
        <v>272</v>
      </c>
      <c r="F23" s="280"/>
      <c r="G23" s="257" t="s">
        <v>286</v>
      </c>
      <c r="H23" s="228">
        <v>2800000</v>
      </c>
      <c r="I23" s="256" t="s">
        <v>45</v>
      </c>
      <c r="J23" s="201">
        <v>2800000</v>
      </c>
      <c r="K23" s="50" t="s">
        <v>280</v>
      </c>
    </row>
    <row r="24" spans="2:11" ht="22.5" customHeight="1" x14ac:dyDescent="0.25">
      <c r="B24" s="348" t="s">
        <v>21</v>
      </c>
      <c r="C24" s="349"/>
      <c r="D24" s="349"/>
      <c r="E24" s="349"/>
      <c r="F24" s="349"/>
      <c r="G24" s="349"/>
      <c r="H24" s="349"/>
      <c r="I24" s="350"/>
      <c r="J24" s="185"/>
      <c r="K24" s="188"/>
    </row>
    <row r="25" spans="2:11" ht="30.75" customHeight="1" x14ac:dyDescent="0.25">
      <c r="B25" s="49"/>
      <c r="C25" s="355"/>
      <c r="D25" s="356"/>
      <c r="E25" s="333" t="s">
        <v>21</v>
      </c>
      <c r="F25" s="334"/>
      <c r="G25" s="258" t="s">
        <v>286</v>
      </c>
      <c r="H25" s="204">
        <v>0</v>
      </c>
      <c r="I25" s="178" t="s">
        <v>132</v>
      </c>
      <c r="J25" s="247">
        <v>2000</v>
      </c>
      <c r="K25" s="50" t="s">
        <v>62</v>
      </c>
    </row>
    <row r="26" spans="2:11" ht="25.5" customHeight="1" x14ac:dyDescent="0.25">
      <c r="B26" s="192"/>
      <c r="C26" s="342"/>
      <c r="D26" s="343"/>
      <c r="E26" s="342"/>
      <c r="F26" s="343"/>
      <c r="G26" s="193"/>
      <c r="H26" s="194"/>
      <c r="I26" s="195" t="s">
        <v>46</v>
      </c>
      <c r="J26" s="196">
        <f>J6+J18+J20+J22+J25</f>
        <v>81800000</v>
      </c>
      <c r="K26" s="196"/>
    </row>
    <row r="27" spans="2:11" ht="15" customHeight="1" x14ac:dyDescent="0.25">
      <c r="B27" s="331" t="s">
        <v>231</v>
      </c>
      <c r="C27" s="331"/>
      <c r="D27" s="331"/>
      <c r="E27" s="331"/>
      <c r="F27" s="331"/>
      <c r="G27" s="331"/>
      <c r="H27" s="331"/>
      <c r="I27" s="331"/>
      <c r="J27" s="331"/>
      <c r="K27" s="331"/>
    </row>
    <row r="28" spans="2:11" hidden="1" x14ac:dyDescent="0.25">
      <c r="B28" s="332" t="s">
        <v>233</v>
      </c>
      <c r="C28" s="332"/>
      <c r="D28" s="332"/>
      <c r="E28" s="332"/>
      <c r="F28" s="332"/>
      <c r="G28" s="332"/>
      <c r="H28" s="332"/>
      <c r="I28" s="332"/>
    </row>
  </sheetData>
  <mergeCells count="44">
    <mergeCell ref="B27:K27"/>
    <mergeCell ref="B28:I28"/>
    <mergeCell ref="C23:D23"/>
    <mergeCell ref="E23:F23"/>
    <mergeCell ref="B24:I24"/>
    <mergeCell ref="C25:D25"/>
    <mergeCell ref="E25:F25"/>
    <mergeCell ref="C26:D26"/>
    <mergeCell ref="E26:F26"/>
    <mergeCell ref="B22:I22"/>
    <mergeCell ref="C15:D15"/>
    <mergeCell ref="E15:F15"/>
    <mergeCell ref="C16:D16"/>
    <mergeCell ref="E16:F16"/>
    <mergeCell ref="C17:D17"/>
    <mergeCell ref="E17:F17"/>
    <mergeCell ref="B20:I20"/>
    <mergeCell ref="C21:D21"/>
    <mergeCell ref="E21:F21"/>
    <mergeCell ref="B18:I18"/>
    <mergeCell ref="C19:D19"/>
    <mergeCell ref="E19:F19"/>
    <mergeCell ref="H10:H11"/>
    <mergeCell ref="C11:D11"/>
    <mergeCell ref="E11:F11"/>
    <mergeCell ref="C12:D12"/>
    <mergeCell ref="E12:F12"/>
    <mergeCell ref="H12:H17"/>
    <mergeCell ref="C13:D13"/>
    <mergeCell ref="E13:F13"/>
    <mergeCell ref="C14:D14"/>
    <mergeCell ref="E14:F14"/>
    <mergeCell ref="C8:D8"/>
    <mergeCell ref="E8:F8"/>
    <mergeCell ref="C9:D9"/>
    <mergeCell ref="E9:F9"/>
    <mergeCell ref="C10:D10"/>
    <mergeCell ref="E10:F10"/>
    <mergeCell ref="B3:K3"/>
    <mergeCell ref="C5:D5"/>
    <mergeCell ref="E5:F5"/>
    <mergeCell ref="B6:I6"/>
    <mergeCell ref="C7:D7"/>
    <mergeCell ref="E7:F7"/>
  </mergeCells>
  <printOptions horizontalCentered="1"/>
  <pageMargins left="0.51181102362204722" right="0.31496062992125984" top="0.35433070866141736" bottom="0.35433070866141736" header="0.31496062992125984" footer="0.31496062992125984"/>
  <pageSetup paperSize="9" scale="46"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topLeftCell="K18" workbookViewId="0">
      <selection activeCell="S33" sqref="S33"/>
    </sheetView>
  </sheetViews>
  <sheetFormatPr defaultRowHeight="15" x14ac:dyDescent="0.25"/>
  <cols>
    <col min="1" max="1" width="15.140625" style="1" customWidth="1"/>
    <col min="2" max="2" width="9.140625" style="1"/>
    <col min="3" max="3" width="16.7109375" style="1" customWidth="1"/>
    <col min="4" max="4" width="9.140625" style="1"/>
    <col min="5" max="5" width="16.7109375" style="1" customWidth="1"/>
    <col min="6" max="7" width="14" style="1" customWidth="1"/>
    <col min="8" max="8" width="34.7109375" style="1" customWidth="1"/>
    <col min="9" max="9" width="14.7109375" style="1" customWidth="1"/>
    <col min="10" max="10" width="30.5703125" style="6" customWidth="1"/>
    <col min="11" max="11" width="8.85546875" style="1" customWidth="1"/>
    <col min="12" max="12" width="13.28515625" style="1" customWidth="1"/>
    <col min="13" max="13" width="13" style="1" customWidth="1"/>
    <col min="14" max="14" width="11.85546875" style="1" customWidth="1"/>
    <col min="15" max="15" width="12.42578125" style="1" customWidth="1"/>
    <col min="16" max="16" width="13.140625" style="1" customWidth="1"/>
    <col min="17" max="17" width="9.140625" style="1"/>
    <col min="18" max="18" width="12.42578125" style="1" bestFit="1" customWidth="1"/>
    <col min="19" max="19" width="9.28515625" style="1" bestFit="1" customWidth="1"/>
    <col min="20" max="16384" width="9.140625" style="1"/>
  </cols>
  <sheetData>
    <row r="1" spans="1:19" ht="20.25" customHeight="1" x14ac:dyDescent="0.25">
      <c r="A1" s="287" t="s">
        <v>49</v>
      </c>
      <c r="B1" s="287"/>
      <c r="C1" s="287"/>
      <c r="D1" s="287"/>
      <c r="E1" s="287"/>
      <c r="F1" s="287"/>
      <c r="G1" s="287"/>
      <c r="H1" s="287"/>
      <c r="I1" s="287"/>
      <c r="J1" s="287"/>
      <c r="K1" s="287"/>
      <c r="L1" s="287"/>
      <c r="M1" s="287"/>
      <c r="N1" s="287"/>
      <c r="O1" s="287"/>
      <c r="P1" s="287"/>
      <c r="Q1" s="287"/>
    </row>
    <row r="3" spans="1:19" ht="44.25" customHeight="1" x14ac:dyDescent="0.25">
      <c r="A3" s="86" t="s">
        <v>0</v>
      </c>
      <c r="B3" s="288" t="s">
        <v>1</v>
      </c>
      <c r="C3" s="288"/>
      <c r="D3" s="288" t="s">
        <v>2</v>
      </c>
      <c r="E3" s="288"/>
      <c r="F3" s="86" t="s">
        <v>27</v>
      </c>
      <c r="G3" s="86" t="s">
        <v>52</v>
      </c>
      <c r="H3" s="86" t="s">
        <v>28</v>
      </c>
      <c r="I3" s="86" t="s">
        <v>26</v>
      </c>
      <c r="J3" s="86" t="s">
        <v>25</v>
      </c>
      <c r="K3" s="68" t="s">
        <v>108</v>
      </c>
      <c r="L3" s="68" t="s">
        <v>109</v>
      </c>
      <c r="M3" s="68" t="s">
        <v>110</v>
      </c>
      <c r="N3" s="68" t="s">
        <v>111</v>
      </c>
      <c r="O3" s="68" t="s">
        <v>133</v>
      </c>
      <c r="P3" s="68" t="s">
        <v>113</v>
      </c>
      <c r="Q3" s="68" t="s">
        <v>114</v>
      </c>
    </row>
    <row r="4" spans="1:19" ht="18.75" customHeight="1" x14ac:dyDescent="0.25">
      <c r="A4" s="289" t="s">
        <v>22</v>
      </c>
      <c r="B4" s="289"/>
      <c r="C4" s="289"/>
      <c r="D4" s="289"/>
      <c r="E4" s="289"/>
      <c r="F4" s="289"/>
      <c r="G4" s="289"/>
      <c r="H4" s="289"/>
      <c r="I4" s="52">
        <f>SUM(I5:I18)</f>
        <v>14998000</v>
      </c>
      <c r="J4" s="58"/>
      <c r="K4" s="56"/>
      <c r="L4" s="74">
        <f>SUM(L5:L18)</f>
        <v>1500</v>
      </c>
      <c r="M4" s="76">
        <f t="shared" ref="M4:P4" si="0">SUM(M5:M18)</f>
        <v>10802040</v>
      </c>
      <c r="N4" s="76">
        <f t="shared" si="0"/>
        <v>25798540</v>
      </c>
      <c r="O4" s="76">
        <f t="shared" si="0"/>
        <v>16156223.100000001</v>
      </c>
      <c r="P4" s="76">
        <f t="shared" si="0"/>
        <v>9642316.8999999985</v>
      </c>
      <c r="Q4" s="73">
        <f>(O4*100)/N4</f>
        <v>62.624563638097356</v>
      </c>
    </row>
    <row r="5" spans="1:19" s="4" customFormat="1" ht="30.75" customHeight="1" x14ac:dyDescent="0.25">
      <c r="A5" s="84" t="s">
        <v>53</v>
      </c>
      <c r="B5" s="279" t="s">
        <v>3</v>
      </c>
      <c r="C5" s="279"/>
      <c r="D5" s="280" t="s">
        <v>12</v>
      </c>
      <c r="E5" s="280"/>
      <c r="F5" s="85" t="s">
        <v>47</v>
      </c>
      <c r="G5" s="5">
        <v>300000</v>
      </c>
      <c r="H5" s="84" t="s">
        <v>29</v>
      </c>
      <c r="I5" s="3">
        <v>300000</v>
      </c>
      <c r="J5" s="50" t="s">
        <v>62</v>
      </c>
      <c r="K5" s="51"/>
      <c r="L5" s="69"/>
      <c r="M5" s="71"/>
      <c r="N5" s="71">
        <f>I5-L5+M5</f>
        <v>300000</v>
      </c>
      <c r="O5" s="94">
        <v>102453.5</v>
      </c>
      <c r="P5" s="94">
        <f>N5-O5</f>
        <v>197546.5</v>
      </c>
      <c r="Q5" s="72">
        <f t="shared" ref="Q5:Q26" si="1">(O5*100)/N5</f>
        <v>34.151166666666668</v>
      </c>
      <c r="R5" s="93"/>
    </row>
    <row r="6" spans="1:19" s="4" customFormat="1" ht="30.75" customHeight="1" x14ac:dyDescent="0.25">
      <c r="A6" s="84" t="s">
        <v>4</v>
      </c>
      <c r="B6" s="279" t="s">
        <v>5</v>
      </c>
      <c r="C6" s="279"/>
      <c r="D6" s="280" t="s">
        <v>6</v>
      </c>
      <c r="E6" s="280"/>
      <c r="F6" s="85" t="s">
        <v>54</v>
      </c>
      <c r="G6" s="5">
        <v>1000000</v>
      </c>
      <c r="H6" s="84" t="s">
        <v>30</v>
      </c>
      <c r="I6" s="3">
        <v>1000000</v>
      </c>
      <c r="J6" s="50" t="s">
        <v>62</v>
      </c>
      <c r="K6" s="51"/>
      <c r="L6" s="69"/>
      <c r="M6" s="71">
        <v>500000</v>
      </c>
      <c r="N6" s="71">
        <f t="shared" ref="N6:N25" si="2">I6-L6+M6</f>
        <v>1500000</v>
      </c>
      <c r="O6" s="94">
        <v>988210.1</v>
      </c>
      <c r="P6" s="94">
        <f t="shared" ref="P6:P25" si="3">N6-O6</f>
        <v>511789.9</v>
      </c>
      <c r="Q6" s="72">
        <f t="shared" si="1"/>
        <v>65.880673333333334</v>
      </c>
      <c r="R6" s="93"/>
      <c r="S6" s="93"/>
    </row>
    <row r="7" spans="1:19" s="4" customFormat="1" ht="30.75" customHeight="1" x14ac:dyDescent="0.25">
      <c r="A7" s="84" t="s">
        <v>7</v>
      </c>
      <c r="B7" s="279" t="s">
        <v>8</v>
      </c>
      <c r="C7" s="279"/>
      <c r="D7" s="280" t="s">
        <v>55</v>
      </c>
      <c r="E7" s="280"/>
      <c r="F7" s="85" t="s">
        <v>54</v>
      </c>
      <c r="G7" s="5">
        <v>30000000</v>
      </c>
      <c r="H7" s="84" t="s">
        <v>31</v>
      </c>
      <c r="I7" s="3">
        <v>9500000</v>
      </c>
      <c r="J7" s="50" t="s">
        <v>62</v>
      </c>
      <c r="K7" s="51"/>
      <c r="L7" s="69"/>
      <c r="M7" s="71">
        <v>4000000</v>
      </c>
      <c r="N7" s="71">
        <f t="shared" si="2"/>
        <v>13500000</v>
      </c>
      <c r="O7" s="94">
        <v>5126837.1399999997</v>
      </c>
      <c r="P7" s="94">
        <f t="shared" si="3"/>
        <v>8373162.8600000003</v>
      </c>
      <c r="Q7" s="72">
        <f t="shared" si="1"/>
        <v>37.976571407407405</v>
      </c>
    </row>
    <row r="8" spans="1:19" s="4" customFormat="1" ht="30.75" customHeight="1" x14ac:dyDescent="0.25">
      <c r="A8" s="84" t="s">
        <v>7</v>
      </c>
      <c r="B8" s="279" t="s">
        <v>8</v>
      </c>
      <c r="C8" s="279"/>
      <c r="D8" s="280" t="s">
        <v>55</v>
      </c>
      <c r="E8" s="280"/>
      <c r="F8" s="85" t="s">
        <v>54</v>
      </c>
      <c r="G8" s="5">
        <v>30000000</v>
      </c>
      <c r="H8" s="84" t="s">
        <v>32</v>
      </c>
      <c r="I8" s="3">
        <v>700000</v>
      </c>
      <c r="J8" s="50" t="s">
        <v>63</v>
      </c>
      <c r="K8" s="51"/>
      <c r="L8" s="69"/>
      <c r="M8" s="71"/>
      <c r="N8" s="71">
        <f t="shared" si="2"/>
        <v>700000</v>
      </c>
      <c r="O8" s="94">
        <v>767281.13</v>
      </c>
      <c r="P8" s="94">
        <f t="shared" si="3"/>
        <v>-67281.13</v>
      </c>
      <c r="Q8" s="72">
        <f t="shared" si="1"/>
        <v>109.61159000000001</v>
      </c>
      <c r="R8" s="93"/>
      <c r="S8" s="93"/>
    </row>
    <row r="9" spans="1:19" s="4" customFormat="1" ht="30.75" customHeight="1" x14ac:dyDescent="0.25">
      <c r="A9" s="84" t="s">
        <v>56</v>
      </c>
      <c r="B9" s="279" t="s">
        <v>11</v>
      </c>
      <c r="C9" s="279"/>
      <c r="D9" s="280" t="s">
        <v>13</v>
      </c>
      <c r="E9" s="280"/>
      <c r="F9" s="85" t="s">
        <v>47</v>
      </c>
      <c r="G9" s="3">
        <v>100000</v>
      </c>
      <c r="H9" s="84" t="s">
        <v>32</v>
      </c>
      <c r="I9" s="3">
        <v>100000</v>
      </c>
      <c r="J9" s="50" t="s">
        <v>63</v>
      </c>
      <c r="K9" s="51"/>
      <c r="L9" s="69"/>
      <c r="M9" s="71">
        <v>75000</v>
      </c>
      <c r="N9" s="71">
        <f t="shared" si="2"/>
        <v>175000</v>
      </c>
      <c r="O9" s="94">
        <f>49356.96+99389.54</f>
        <v>148746.5</v>
      </c>
      <c r="P9" s="94">
        <f t="shared" si="3"/>
        <v>26253.5</v>
      </c>
      <c r="Q9" s="72">
        <f t="shared" si="1"/>
        <v>84.998000000000005</v>
      </c>
    </row>
    <row r="10" spans="1:19" s="4" customFormat="1" ht="30.75" customHeight="1" x14ac:dyDescent="0.25">
      <c r="A10" s="84" t="s">
        <v>56</v>
      </c>
      <c r="B10" s="279" t="s">
        <v>11</v>
      </c>
      <c r="C10" s="279"/>
      <c r="D10" s="280" t="s">
        <v>35</v>
      </c>
      <c r="E10" s="280"/>
      <c r="F10" s="85" t="s">
        <v>47</v>
      </c>
      <c r="G10" s="3">
        <v>100000</v>
      </c>
      <c r="H10" s="84" t="s">
        <v>36</v>
      </c>
      <c r="I10" s="3">
        <v>100000</v>
      </c>
      <c r="J10" s="50" t="s">
        <v>63</v>
      </c>
      <c r="K10" s="51"/>
      <c r="L10" s="69"/>
      <c r="M10" s="71">
        <v>225000</v>
      </c>
      <c r="N10" s="71">
        <f t="shared" si="2"/>
        <v>325000</v>
      </c>
      <c r="O10" s="94">
        <f>199898.78+120018.99+16923.56+47447.8</f>
        <v>384289.13</v>
      </c>
      <c r="P10" s="94">
        <f t="shared" si="3"/>
        <v>-59289.130000000005</v>
      </c>
      <c r="Q10" s="72">
        <f t="shared" si="1"/>
        <v>118.24280923076923</v>
      </c>
    </row>
    <row r="11" spans="1:19" s="4" customFormat="1" ht="30.75" customHeight="1" x14ac:dyDescent="0.25">
      <c r="A11" s="84" t="s">
        <v>56</v>
      </c>
      <c r="B11" s="279" t="s">
        <v>11</v>
      </c>
      <c r="C11" s="279"/>
      <c r="D11" s="280" t="s">
        <v>14</v>
      </c>
      <c r="E11" s="280"/>
      <c r="F11" s="85" t="s">
        <v>47</v>
      </c>
      <c r="G11" s="3">
        <v>310000</v>
      </c>
      <c r="H11" s="84" t="s">
        <v>33</v>
      </c>
      <c r="I11" s="3">
        <v>310000</v>
      </c>
      <c r="J11" s="50" t="s">
        <v>64</v>
      </c>
      <c r="K11" s="51"/>
      <c r="L11" s="69"/>
      <c r="M11" s="71">
        <v>265000</v>
      </c>
      <c r="N11" s="71">
        <f t="shared" si="2"/>
        <v>575000</v>
      </c>
      <c r="O11" s="94">
        <v>557036.11</v>
      </c>
      <c r="P11" s="94">
        <f t="shared" si="3"/>
        <v>17963.890000000014</v>
      </c>
      <c r="Q11" s="72">
        <f t="shared" si="1"/>
        <v>96.875845217391301</v>
      </c>
    </row>
    <row r="12" spans="1:19" s="4" customFormat="1" ht="30.75" customHeight="1" x14ac:dyDescent="0.25">
      <c r="A12" s="84" t="s">
        <v>56</v>
      </c>
      <c r="B12" s="279" t="s">
        <v>11</v>
      </c>
      <c r="C12" s="279"/>
      <c r="D12" s="280" t="s">
        <v>14</v>
      </c>
      <c r="E12" s="280"/>
      <c r="F12" s="85" t="s">
        <v>47</v>
      </c>
      <c r="G12" s="3">
        <v>140000</v>
      </c>
      <c r="H12" s="84" t="s">
        <v>39</v>
      </c>
      <c r="I12" s="3">
        <v>140000</v>
      </c>
      <c r="J12" s="50" t="s">
        <v>65</v>
      </c>
      <c r="K12" s="51"/>
      <c r="L12" s="69"/>
      <c r="M12" s="71">
        <v>202540</v>
      </c>
      <c r="N12" s="71">
        <f t="shared" si="2"/>
        <v>342540</v>
      </c>
      <c r="O12" s="94">
        <v>342535.2</v>
      </c>
      <c r="P12" s="94">
        <f t="shared" si="3"/>
        <v>4.7999999999883585</v>
      </c>
      <c r="Q12" s="72">
        <f t="shared" si="1"/>
        <v>99.998598703801022</v>
      </c>
    </row>
    <row r="13" spans="1:19" s="4" customFormat="1" ht="30.75" customHeight="1" x14ac:dyDescent="0.25">
      <c r="A13" s="84" t="s">
        <v>56</v>
      </c>
      <c r="B13" s="279" t="s">
        <v>11</v>
      </c>
      <c r="C13" s="279"/>
      <c r="D13" s="280" t="s">
        <v>15</v>
      </c>
      <c r="E13" s="280"/>
      <c r="F13" s="85" t="s">
        <v>47</v>
      </c>
      <c r="G13" s="3">
        <v>50000</v>
      </c>
      <c r="H13" s="84" t="s">
        <v>37</v>
      </c>
      <c r="I13" s="3">
        <v>50000</v>
      </c>
      <c r="J13" s="50" t="s">
        <v>64</v>
      </c>
      <c r="K13" s="51"/>
      <c r="L13" s="69"/>
      <c r="M13" s="71">
        <v>1500</v>
      </c>
      <c r="N13" s="71">
        <f t="shared" si="2"/>
        <v>51500</v>
      </c>
      <c r="O13" s="94">
        <v>51463.34</v>
      </c>
      <c r="P13" s="94">
        <f t="shared" si="3"/>
        <v>36.660000000003492</v>
      </c>
      <c r="Q13" s="72">
        <f t="shared" si="1"/>
        <v>99.928815533980583</v>
      </c>
    </row>
    <row r="14" spans="1:19" s="4" customFormat="1" ht="30.75" customHeight="1" x14ac:dyDescent="0.25">
      <c r="A14" s="84" t="s">
        <v>56</v>
      </c>
      <c r="B14" s="279" t="s">
        <v>11</v>
      </c>
      <c r="C14" s="279"/>
      <c r="D14" s="280" t="s">
        <v>16</v>
      </c>
      <c r="E14" s="280"/>
      <c r="F14" s="85" t="s">
        <v>47</v>
      </c>
      <c r="G14" s="3">
        <v>1000000</v>
      </c>
      <c r="H14" s="84" t="s">
        <v>34</v>
      </c>
      <c r="I14" s="3">
        <v>1000000</v>
      </c>
      <c r="J14" s="50" t="s">
        <v>63</v>
      </c>
      <c r="K14" s="51"/>
      <c r="L14" s="69"/>
      <c r="M14" s="71">
        <f>1510000+300000</f>
        <v>1810000</v>
      </c>
      <c r="N14" s="71">
        <f t="shared" si="2"/>
        <v>2810000</v>
      </c>
      <c r="O14" s="94">
        <v>2185165.4700000002</v>
      </c>
      <c r="P14" s="94">
        <f t="shared" si="3"/>
        <v>624834.5299999998</v>
      </c>
      <c r="Q14" s="72">
        <f t="shared" si="1"/>
        <v>77.763895729537381</v>
      </c>
    </row>
    <row r="15" spans="1:19" s="4" customFormat="1" ht="30.75" customHeight="1" x14ac:dyDescent="0.25">
      <c r="A15" s="84" t="s">
        <v>56</v>
      </c>
      <c r="B15" s="279" t="s">
        <v>11</v>
      </c>
      <c r="C15" s="279"/>
      <c r="D15" s="280" t="s">
        <v>17</v>
      </c>
      <c r="E15" s="280"/>
      <c r="F15" s="85" t="s">
        <v>47</v>
      </c>
      <c r="G15" s="3">
        <v>395000</v>
      </c>
      <c r="H15" s="84" t="s">
        <v>38</v>
      </c>
      <c r="I15" s="3">
        <v>395000</v>
      </c>
      <c r="J15" s="50" t="s">
        <v>63</v>
      </c>
      <c r="K15" s="51"/>
      <c r="L15" s="69"/>
      <c r="M15" s="71">
        <f>70000+3000</f>
        <v>73000</v>
      </c>
      <c r="N15" s="71">
        <f t="shared" si="2"/>
        <v>468000</v>
      </c>
      <c r="O15" s="94">
        <v>467495.71</v>
      </c>
      <c r="P15" s="94">
        <f t="shared" si="3"/>
        <v>504.28999999997905</v>
      </c>
      <c r="Q15" s="72">
        <f t="shared" si="1"/>
        <v>99.89224572649573</v>
      </c>
    </row>
    <row r="16" spans="1:19" s="4" customFormat="1" ht="30.75" customHeight="1" x14ac:dyDescent="0.25">
      <c r="A16" s="84" t="s">
        <v>56</v>
      </c>
      <c r="B16" s="279" t="s">
        <v>11</v>
      </c>
      <c r="C16" s="279"/>
      <c r="D16" s="280" t="s">
        <v>18</v>
      </c>
      <c r="E16" s="280"/>
      <c r="F16" s="85" t="s">
        <v>47</v>
      </c>
      <c r="G16" s="3">
        <v>200000</v>
      </c>
      <c r="H16" s="84" t="s">
        <v>40</v>
      </c>
      <c r="I16" s="3">
        <v>200000</v>
      </c>
      <c r="J16" s="50" t="s">
        <v>66</v>
      </c>
      <c r="K16" s="51"/>
      <c r="L16" s="69">
        <v>1500</v>
      </c>
      <c r="M16" s="71"/>
      <c r="N16" s="71">
        <f t="shared" si="2"/>
        <v>198500</v>
      </c>
      <c r="O16" s="94">
        <v>96460.32</v>
      </c>
      <c r="P16" s="94">
        <f t="shared" si="3"/>
        <v>102039.67999999999</v>
      </c>
      <c r="Q16" s="72">
        <f t="shared" si="1"/>
        <v>48.594619647355167</v>
      </c>
    </row>
    <row r="17" spans="1:18" s="4" customFormat="1" ht="30.75" customHeight="1" x14ac:dyDescent="0.25">
      <c r="A17" s="84" t="s">
        <v>56</v>
      </c>
      <c r="B17" s="279" t="s">
        <v>11</v>
      </c>
      <c r="C17" s="279"/>
      <c r="D17" s="280" t="s">
        <v>19</v>
      </c>
      <c r="E17" s="280"/>
      <c r="F17" s="85" t="s">
        <v>47</v>
      </c>
      <c r="G17" s="3">
        <v>100000</v>
      </c>
      <c r="H17" s="84" t="s">
        <v>41</v>
      </c>
      <c r="I17" s="3">
        <v>100000</v>
      </c>
      <c r="J17" s="50" t="s">
        <v>66</v>
      </c>
      <c r="K17" s="51"/>
      <c r="L17" s="69"/>
      <c r="M17" s="71"/>
      <c r="N17" s="71">
        <f t="shared" si="2"/>
        <v>100000</v>
      </c>
      <c r="O17" s="94">
        <v>201308.29</v>
      </c>
      <c r="P17" s="94">
        <f t="shared" si="3"/>
        <v>-101308.29000000001</v>
      </c>
      <c r="Q17" s="72">
        <f t="shared" si="1"/>
        <v>201.30829</v>
      </c>
    </row>
    <row r="18" spans="1:18" ht="30.75" customHeight="1" x14ac:dyDescent="0.25">
      <c r="A18" s="84" t="s">
        <v>56</v>
      </c>
      <c r="B18" s="279" t="s">
        <v>11</v>
      </c>
      <c r="C18" s="279"/>
      <c r="D18" s="280" t="s">
        <v>20</v>
      </c>
      <c r="E18" s="280"/>
      <c r="F18" s="85" t="s">
        <v>47</v>
      </c>
      <c r="G18" s="3">
        <v>1103000</v>
      </c>
      <c r="H18" s="84" t="s">
        <v>42</v>
      </c>
      <c r="I18" s="3">
        <v>1103000</v>
      </c>
      <c r="J18" s="50" t="s">
        <v>62</v>
      </c>
      <c r="K18" s="49"/>
      <c r="L18" s="70"/>
      <c r="M18" s="71">
        <f>2930000+720000</f>
        <v>3650000</v>
      </c>
      <c r="N18" s="71">
        <f t="shared" si="2"/>
        <v>4753000</v>
      </c>
      <c r="O18" s="94">
        <v>4736941.16</v>
      </c>
      <c r="P18" s="94">
        <f t="shared" si="3"/>
        <v>16058.839999999851</v>
      </c>
      <c r="Q18" s="72">
        <f t="shared" si="1"/>
        <v>99.662132547864502</v>
      </c>
      <c r="R18" s="92"/>
    </row>
    <row r="19" spans="1:18" ht="23.25" customHeight="1" x14ac:dyDescent="0.25">
      <c r="A19" s="285" t="s">
        <v>23</v>
      </c>
      <c r="B19" s="285"/>
      <c r="C19" s="285"/>
      <c r="D19" s="285"/>
      <c r="E19" s="285"/>
      <c r="F19" s="285"/>
      <c r="G19" s="285"/>
      <c r="H19" s="285"/>
      <c r="I19" s="53">
        <f>I20</f>
        <v>1500000</v>
      </c>
      <c r="J19" s="57"/>
      <c r="K19" s="59"/>
      <c r="L19" s="75">
        <f>L20</f>
        <v>1925000</v>
      </c>
      <c r="M19" s="76">
        <f t="shared" ref="M19" si="4">M20</f>
        <v>3425000</v>
      </c>
      <c r="N19" s="76">
        <f t="shared" si="2"/>
        <v>3000000</v>
      </c>
      <c r="O19" s="76">
        <f>O20</f>
        <v>1557513.65</v>
      </c>
      <c r="P19" s="76">
        <f t="shared" si="3"/>
        <v>1442486.35</v>
      </c>
      <c r="Q19" s="77">
        <f t="shared" si="1"/>
        <v>51.917121666666667</v>
      </c>
    </row>
    <row r="20" spans="1:18" ht="30.75" customHeight="1" x14ac:dyDescent="0.25">
      <c r="A20" s="84" t="s">
        <v>9</v>
      </c>
      <c r="B20" s="279" t="s">
        <v>10</v>
      </c>
      <c r="C20" s="279"/>
      <c r="D20" s="280" t="s">
        <v>50</v>
      </c>
      <c r="E20" s="280"/>
      <c r="F20" s="85" t="s">
        <v>51</v>
      </c>
      <c r="G20" s="5">
        <v>4000000</v>
      </c>
      <c r="H20" s="84" t="s">
        <v>43</v>
      </c>
      <c r="I20" s="3">
        <v>1500000</v>
      </c>
      <c r="J20" s="50" t="s">
        <v>67</v>
      </c>
      <c r="K20" s="49"/>
      <c r="L20" s="70">
        <v>1925000</v>
      </c>
      <c r="M20" s="71">
        <v>3425000</v>
      </c>
      <c r="N20" s="71">
        <f t="shared" si="2"/>
        <v>3000000</v>
      </c>
      <c r="O20" s="94">
        <v>1557513.65</v>
      </c>
      <c r="P20" s="94">
        <f t="shared" si="3"/>
        <v>1442486.35</v>
      </c>
      <c r="Q20" s="72">
        <f t="shared" si="1"/>
        <v>51.917121666666667</v>
      </c>
    </row>
    <row r="21" spans="1:18" ht="22.5" customHeight="1" x14ac:dyDescent="0.25">
      <c r="A21" s="285" t="s">
        <v>24</v>
      </c>
      <c r="B21" s="285"/>
      <c r="C21" s="285"/>
      <c r="D21" s="285"/>
      <c r="E21" s="285"/>
      <c r="F21" s="285"/>
      <c r="G21" s="285"/>
      <c r="H21" s="285"/>
      <c r="I21" s="53">
        <f>SUM(I22:I23)</f>
        <v>2000000</v>
      </c>
      <c r="J21" s="57"/>
      <c r="K21" s="59"/>
      <c r="L21" s="75">
        <f>L22+L23</f>
        <v>0</v>
      </c>
      <c r="M21" s="76">
        <f t="shared" ref="M21" si="5">M22+M23</f>
        <v>0</v>
      </c>
      <c r="N21" s="76">
        <f t="shared" si="2"/>
        <v>2000000</v>
      </c>
      <c r="O21" s="76">
        <f>O22+O23</f>
        <v>0</v>
      </c>
      <c r="P21" s="76">
        <f t="shared" si="3"/>
        <v>2000000</v>
      </c>
      <c r="Q21" s="77">
        <f t="shared" si="1"/>
        <v>0</v>
      </c>
    </row>
    <row r="22" spans="1:18" ht="30.75" customHeight="1" x14ac:dyDescent="0.25">
      <c r="A22" s="84" t="s">
        <v>57</v>
      </c>
      <c r="B22" s="279" t="s">
        <v>58</v>
      </c>
      <c r="C22" s="279"/>
      <c r="D22" s="280" t="s">
        <v>59</v>
      </c>
      <c r="E22" s="280"/>
      <c r="F22" s="85" t="s">
        <v>48</v>
      </c>
      <c r="G22" s="5">
        <v>5000000</v>
      </c>
      <c r="H22" s="84" t="s">
        <v>44</v>
      </c>
      <c r="I22" s="3">
        <v>1990000</v>
      </c>
      <c r="J22" s="50" t="s">
        <v>68</v>
      </c>
      <c r="K22" s="49"/>
      <c r="L22" s="70"/>
      <c r="M22" s="71"/>
      <c r="N22" s="71">
        <f t="shared" si="2"/>
        <v>1990000</v>
      </c>
      <c r="O22" s="71"/>
      <c r="P22" s="71">
        <f t="shared" si="3"/>
        <v>1990000</v>
      </c>
      <c r="Q22" s="72">
        <f t="shared" si="1"/>
        <v>0</v>
      </c>
    </row>
    <row r="23" spans="1:18" ht="30.75" customHeight="1" x14ac:dyDescent="0.25">
      <c r="A23" s="84" t="s">
        <v>61</v>
      </c>
      <c r="B23" s="279" t="s">
        <v>70</v>
      </c>
      <c r="C23" s="279"/>
      <c r="D23" s="280" t="s">
        <v>60</v>
      </c>
      <c r="E23" s="280"/>
      <c r="F23" s="85" t="s">
        <v>48</v>
      </c>
      <c r="G23" s="5">
        <v>10000</v>
      </c>
      <c r="H23" s="84" t="s">
        <v>45</v>
      </c>
      <c r="I23" s="3">
        <v>10000</v>
      </c>
      <c r="J23" s="50" t="s">
        <v>68</v>
      </c>
      <c r="K23" s="49"/>
      <c r="L23" s="70"/>
      <c r="M23" s="71"/>
      <c r="N23" s="71">
        <f t="shared" si="2"/>
        <v>10000</v>
      </c>
      <c r="O23" s="71"/>
      <c r="P23" s="71">
        <f t="shared" si="3"/>
        <v>10000</v>
      </c>
      <c r="Q23" s="72">
        <f t="shared" si="1"/>
        <v>0</v>
      </c>
    </row>
    <row r="24" spans="1:18" ht="30.75" customHeight="1" x14ac:dyDescent="0.25">
      <c r="A24" s="281" t="s">
        <v>131</v>
      </c>
      <c r="B24" s="282"/>
      <c r="C24" s="282"/>
      <c r="D24" s="282"/>
      <c r="E24" s="282"/>
      <c r="F24" s="282"/>
      <c r="G24" s="282"/>
      <c r="H24" s="282"/>
      <c r="I24" s="64">
        <f>I25</f>
        <v>2000</v>
      </c>
      <c r="J24" s="57"/>
      <c r="K24" s="59"/>
      <c r="L24" s="75">
        <f>L25</f>
        <v>0</v>
      </c>
      <c r="M24" s="76">
        <f t="shared" ref="M24" si="6">M25</f>
        <v>8020000</v>
      </c>
      <c r="N24" s="76">
        <f t="shared" si="2"/>
        <v>8022000</v>
      </c>
      <c r="O24" s="76">
        <f>O25</f>
        <v>2870325.28</v>
      </c>
      <c r="P24" s="76">
        <f t="shared" si="3"/>
        <v>5151674.7200000007</v>
      </c>
      <c r="Q24" s="77">
        <f t="shared" si="1"/>
        <v>35.780669159810522</v>
      </c>
    </row>
    <row r="25" spans="1:18" ht="30.75" customHeight="1" x14ac:dyDescent="0.25">
      <c r="A25" s="61"/>
      <c r="B25" s="283"/>
      <c r="C25" s="283"/>
      <c r="D25" s="284" t="s">
        <v>21</v>
      </c>
      <c r="E25" s="284"/>
      <c r="F25" s="87" t="s">
        <v>47</v>
      </c>
      <c r="G25" s="62"/>
      <c r="H25" s="89" t="s">
        <v>132</v>
      </c>
      <c r="I25" s="63">
        <v>2000</v>
      </c>
      <c r="J25" s="50" t="s">
        <v>69</v>
      </c>
      <c r="K25" s="67"/>
      <c r="L25" s="70"/>
      <c r="M25" s="71">
        <f>6520000+1500000</f>
        <v>8020000</v>
      </c>
      <c r="N25" s="71">
        <f t="shared" si="2"/>
        <v>8022000</v>
      </c>
      <c r="O25" s="94">
        <v>2870325.28</v>
      </c>
      <c r="P25" s="94">
        <f t="shared" si="3"/>
        <v>5151674.7200000007</v>
      </c>
      <c r="Q25" s="72">
        <f t="shared" si="1"/>
        <v>35.780669159810522</v>
      </c>
    </row>
    <row r="26" spans="1:18" s="96" customFormat="1" ht="25.5" customHeight="1" x14ac:dyDescent="0.25">
      <c r="A26" s="95"/>
      <c r="B26" s="290"/>
      <c r="C26" s="290"/>
      <c r="D26" s="290"/>
      <c r="E26" s="290"/>
      <c r="F26" s="54"/>
      <c r="G26" s="60"/>
      <c r="H26" s="54" t="s">
        <v>46</v>
      </c>
      <c r="I26" s="55">
        <f>I21+I19+I4+I24</f>
        <v>18500000</v>
      </c>
      <c r="J26" s="55"/>
      <c r="K26" s="55"/>
      <c r="L26" s="55">
        <f t="shared" ref="L26:O26" si="7">L21+L19+L4+L24</f>
        <v>1926500</v>
      </c>
      <c r="M26" s="55">
        <f t="shared" si="7"/>
        <v>22247040</v>
      </c>
      <c r="N26" s="55">
        <f t="shared" si="7"/>
        <v>38820540</v>
      </c>
      <c r="O26" s="55">
        <f t="shared" si="7"/>
        <v>20584062.030000001</v>
      </c>
      <c r="P26" s="55">
        <f>P21+P19+P4+P24</f>
        <v>18236477.969999999</v>
      </c>
      <c r="Q26" s="73">
        <f t="shared" si="1"/>
        <v>53.023636533649452</v>
      </c>
    </row>
  </sheetData>
  <mergeCells count="45">
    <mergeCell ref="A1:Q1"/>
    <mergeCell ref="B6:C6"/>
    <mergeCell ref="D6:E6"/>
    <mergeCell ref="B3:C3"/>
    <mergeCell ref="D3:E3"/>
    <mergeCell ref="A4:H4"/>
    <mergeCell ref="B5:C5"/>
    <mergeCell ref="D5:E5"/>
    <mergeCell ref="B7:C7"/>
    <mergeCell ref="D7:E7"/>
    <mergeCell ref="B10:C10"/>
    <mergeCell ref="D10:E10"/>
    <mergeCell ref="B11:C11"/>
    <mergeCell ref="D11:E11"/>
    <mergeCell ref="B8:C8"/>
    <mergeCell ref="D8:E8"/>
    <mergeCell ref="B9:C9"/>
    <mergeCell ref="D9:E9"/>
    <mergeCell ref="D25:E25"/>
    <mergeCell ref="A19:H19"/>
    <mergeCell ref="B20:C20"/>
    <mergeCell ref="D20:E20"/>
    <mergeCell ref="B13:C13"/>
    <mergeCell ref="D13:E13"/>
    <mergeCell ref="B14:C14"/>
    <mergeCell ref="D14:E14"/>
    <mergeCell ref="B15:C15"/>
    <mergeCell ref="D15:E15"/>
    <mergeCell ref="D18:E18"/>
    <mergeCell ref="B26:C26"/>
    <mergeCell ref="D26:E26"/>
    <mergeCell ref="B25:C25"/>
    <mergeCell ref="A24:H24"/>
    <mergeCell ref="B12:C12"/>
    <mergeCell ref="D12:E12"/>
    <mergeCell ref="B22:C22"/>
    <mergeCell ref="D22:E22"/>
    <mergeCell ref="B23:C23"/>
    <mergeCell ref="D23:E23"/>
    <mergeCell ref="A21:H21"/>
    <mergeCell ref="B16:C16"/>
    <mergeCell ref="D16:E16"/>
    <mergeCell ref="B17:C17"/>
    <mergeCell ref="D17:E17"/>
    <mergeCell ref="B18:C18"/>
  </mergeCells>
  <pageMargins left="0.51181102362204722" right="0.31496062992125984" top="0.35433070866141736" bottom="0.35433070866141736"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zoomScaleNormal="100" workbookViewId="0">
      <selection activeCell="A10" sqref="A10"/>
    </sheetView>
  </sheetViews>
  <sheetFormatPr defaultRowHeight="15" x14ac:dyDescent="0.25"/>
  <cols>
    <col min="1" max="1" width="16.140625" customWidth="1"/>
    <col min="2" max="2" width="33" customWidth="1"/>
    <col min="3" max="3" width="13.28515625" customWidth="1"/>
    <col min="4" max="4" width="10.140625" customWidth="1"/>
    <col min="5" max="5" width="12.140625" customWidth="1"/>
    <col min="6" max="6" width="13.28515625" customWidth="1"/>
    <col min="7" max="7" width="10.7109375" customWidth="1"/>
    <col min="8" max="8" width="11.28515625" customWidth="1"/>
    <col min="9" max="9" width="13.28515625" customWidth="1"/>
    <col min="10" max="10" width="14.85546875" customWidth="1"/>
    <col min="11" max="11" width="13" customWidth="1"/>
    <col min="12" max="12" width="15" bestFit="1" customWidth="1"/>
    <col min="13" max="13" width="12" bestFit="1" customWidth="1"/>
    <col min="14" max="14" width="10.140625" bestFit="1" customWidth="1"/>
  </cols>
  <sheetData>
    <row r="1" spans="1:14" ht="21" x14ac:dyDescent="0.35">
      <c r="A1" s="292" t="s">
        <v>71</v>
      </c>
      <c r="B1" s="292"/>
      <c r="C1" s="292"/>
      <c r="D1" s="292"/>
      <c r="E1" s="292"/>
      <c r="F1" s="292"/>
      <c r="G1" s="292"/>
      <c r="H1" s="8"/>
      <c r="I1" s="8"/>
      <c r="J1" s="8"/>
      <c r="K1" s="8"/>
      <c r="L1" s="8"/>
      <c r="M1" s="8"/>
      <c r="N1" s="8"/>
    </row>
    <row r="2" spans="1:14" ht="15.75" thickBot="1" x14ac:dyDescent="0.3"/>
    <row r="3" spans="1:14" ht="45" customHeight="1" x14ac:dyDescent="0.25">
      <c r="A3" s="2" t="s">
        <v>0</v>
      </c>
      <c r="B3" s="293" t="s">
        <v>1</v>
      </c>
      <c r="C3" s="293"/>
      <c r="D3" s="293" t="s">
        <v>2</v>
      </c>
      <c r="E3" s="293"/>
      <c r="F3" s="7" t="s">
        <v>72</v>
      </c>
      <c r="G3" s="9" t="s">
        <v>73</v>
      </c>
      <c r="H3" s="7" t="s">
        <v>74</v>
      </c>
      <c r="I3" s="7" t="s">
        <v>72</v>
      </c>
      <c r="J3" s="7" t="s">
        <v>75</v>
      </c>
      <c r="K3" s="7" t="s">
        <v>76</v>
      </c>
      <c r="L3" s="7" t="s">
        <v>77</v>
      </c>
      <c r="M3" s="7" t="s">
        <v>78</v>
      </c>
      <c r="N3" s="10" t="s">
        <v>79</v>
      </c>
    </row>
    <row r="4" spans="1:14" ht="15" customHeight="1" x14ac:dyDescent="0.25">
      <c r="A4" s="11" t="s">
        <v>80</v>
      </c>
      <c r="B4" s="12" t="s">
        <v>3</v>
      </c>
      <c r="C4" s="13"/>
      <c r="D4" s="291" t="s">
        <v>12</v>
      </c>
      <c r="E4" s="291"/>
      <c r="F4" s="14">
        <v>400000</v>
      </c>
      <c r="G4" s="15" t="s">
        <v>81</v>
      </c>
      <c r="H4" s="16" t="s">
        <v>82</v>
      </c>
      <c r="I4" s="14">
        <v>400000</v>
      </c>
      <c r="J4" s="17"/>
      <c r="K4" s="17"/>
      <c r="L4" s="17">
        <f t="shared" ref="L4:L14" si="0">K4+I4</f>
        <v>400000</v>
      </c>
      <c r="M4" s="17">
        <v>153400</v>
      </c>
      <c r="N4" s="18">
        <f t="shared" ref="N4:N18" si="1">L4-M4</f>
        <v>246600</v>
      </c>
    </row>
    <row r="5" spans="1:14" ht="30" customHeight="1" x14ac:dyDescent="0.25">
      <c r="A5" s="11" t="s">
        <v>83</v>
      </c>
      <c r="B5" s="12" t="s">
        <v>84</v>
      </c>
      <c r="C5" s="13"/>
      <c r="D5" s="291" t="s">
        <v>85</v>
      </c>
      <c r="E5" s="291"/>
      <c r="F5" s="14">
        <v>100000</v>
      </c>
      <c r="G5" s="15" t="s">
        <v>86</v>
      </c>
      <c r="H5" s="16" t="s">
        <v>82</v>
      </c>
      <c r="I5" s="14">
        <v>100000</v>
      </c>
      <c r="J5" s="17"/>
      <c r="K5" s="17"/>
      <c r="L5" s="17">
        <f t="shared" si="0"/>
        <v>100000</v>
      </c>
      <c r="M5" s="17">
        <v>0</v>
      </c>
      <c r="N5" s="18">
        <f t="shared" si="1"/>
        <v>100000</v>
      </c>
    </row>
    <row r="6" spans="1:14" ht="15" customHeight="1" x14ac:dyDescent="0.25">
      <c r="A6" s="11" t="s">
        <v>4</v>
      </c>
      <c r="B6" s="12" t="s">
        <v>5</v>
      </c>
      <c r="C6" s="13"/>
      <c r="D6" s="291" t="s">
        <v>6</v>
      </c>
      <c r="E6" s="291"/>
      <c r="F6" s="14">
        <v>500000</v>
      </c>
      <c r="G6" s="15" t="s">
        <v>81</v>
      </c>
      <c r="H6" s="16" t="s">
        <v>87</v>
      </c>
      <c r="I6" s="14">
        <v>500000</v>
      </c>
      <c r="J6" s="17"/>
      <c r="K6" s="17">
        <f>400000+100000+25000</f>
        <v>525000</v>
      </c>
      <c r="L6" s="17">
        <f t="shared" si="0"/>
        <v>1025000</v>
      </c>
      <c r="M6" s="17">
        <v>1024648</v>
      </c>
      <c r="N6" s="18">
        <f t="shared" si="1"/>
        <v>352</v>
      </c>
    </row>
    <row r="7" spans="1:14" ht="15" customHeight="1" x14ac:dyDescent="0.25">
      <c r="A7" s="11" t="s">
        <v>7</v>
      </c>
      <c r="B7" s="12" t="s">
        <v>8</v>
      </c>
      <c r="C7" s="13"/>
      <c r="D7" s="291" t="s">
        <v>88</v>
      </c>
      <c r="E7" s="291"/>
      <c r="F7" s="14">
        <v>8516000</v>
      </c>
      <c r="G7" s="15" t="s">
        <v>81</v>
      </c>
      <c r="H7" s="16" t="s">
        <v>89</v>
      </c>
      <c r="I7" s="14">
        <v>8516000</v>
      </c>
      <c r="J7" s="17"/>
      <c r="K7" s="17"/>
      <c r="L7" s="17">
        <f t="shared" si="0"/>
        <v>8516000</v>
      </c>
      <c r="M7" s="17">
        <v>6704067</v>
      </c>
      <c r="N7" s="18">
        <f t="shared" si="1"/>
        <v>1811933</v>
      </c>
    </row>
    <row r="8" spans="1:14" ht="30" customHeight="1" x14ac:dyDescent="0.25">
      <c r="A8" s="11" t="s">
        <v>9</v>
      </c>
      <c r="B8" s="12" t="s">
        <v>10</v>
      </c>
      <c r="C8" s="13"/>
      <c r="D8" s="291" t="s">
        <v>90</v>
      </c>
      <c r="E8" s="291"/>
      <c r="F8" s="14">
        <v>845000</v>
      </c>
      <c r="G8" s="15" t="s">
        <v>91</v>
      </c>
      <c r="H8" s="16" t="s">
        <v>89</v>
      </c>
      <c r="I8" s="14">
        <v>845000</v>
      </c>
      <c r="J8" s="17"/>
      <c r="K8" s="17">
        <v>558843</v>
      </c>
      <c r="L8" s="17">
        <f t="shared" si="0"/>
        <v>1403843</v>
      </c>
      <c r="M8" s="17">
        <v>0</v>
      </c>
      <c r="N8" s="18">
        <f t="shared" si="1"/>
        <v>1403843</v>
      </c>
    </row>
    <row r="9" spans="1:14" ht="15" customHeight="1" x14ac:dyDescent="0.25">
      <c r="A9" s="11" t="s">
        <v>92</v>
      </c>
      <c r="B9" s="12" t="s">
        <v>11</v>
      </c>
      <c r="C9" s="13"/>
      <c r="D9" s="291" t="s">
        <v>13</v>
      </c>
      <c r="E9" s="291"/>
      <c r="F9" s="14">
        <v>200000</v>
      </c>
      <c r="G9" s="15" t="s">
        <v>93</v>
      </c>
      <c r="H9" s="16" t="s">
        <v>94</v>
      </c>
      <c r="I9" s="14">
        <v>200000</v>
      </c>
      <c r="J9" s="17"/>
      <c r="K9" s="17">
        <v>500000</v>
      </c>
      <c r="L9" s="17">
        <f t="shared" si="0"/>
        <v>700000</v>
      </c>
      <c r="M9" s="17">
        <f>501276+131108</f>
        <v>632384</v>
      </c>
      <c r="N9" s="18">
        <f t="shared" si="1"/>
        <v>67616</v>
      </c>
    </row>
    <row r="10" spans="1:14" ht="45" x14ac:dyDescent="0.25">
      <c r="A10" s="11" t="s">
        <v>92</v>
      </c>
      <c r="B10" s="12" t="s">
        <v>11</v>
      </c>
      <c r="C10" s="13"/>
      <c r="D10" s="291" t="s">
        <v>14</v>
      </c>
      <c r="E10" s="291"/>
      <c r="F10" s="14">
        <v>450000</v>
      </c>
      <c r="G10" s="15" t="s">
        <v>95</v>
      </c>
      <c r="H10" s="16" t="s">
        <v>96</v>
      </c>
      <c r="I10" s="14">
        <v>450000</v>
      </c>
      <c r="J10" s="17"/>
      <c r="K10" s="17">
        <v>60000</v>
      </c>
      <c r="L10" s="17">
        <f t="shared" si="0"/>
        <v>510000</v>
      </c>
      <c r="M10" s="17">
        <v>508464</v>
      </c>
      <c r="N10" s="18">
        <f t="shared" si="1"/>
        <v>1536</v>
      </c>
    </row>
    <row r="11" spans="1:14" ht="45" x14ac:dyDescent="0.25">
      <c r="A11" s="11" t="s">
        <v>92</v>
      </c>
      <c r="B11" s="12" t="s">
        <v>11</v>
      </c>
      <c r="C11" s="13"/>
      <c r="D11" s="291" t="s">
        <v>15</v>
      </c>
      <c r="E11" s="291"/>
      <c r="F11" s="14">
        <v>150000</v>
      </c>
      <c r="G11" s="15" t="s">
        <v>95</v>
      </c>
      <c r="H11" s="16" t="s">
        <v>97</v>
      </c>
      <c r="I11" s="14">
        <v>150000</v>
      </c>
      <c r="J11" s="17"/>
      <c r="K11" s="17"/>
      <c r="L11" s="17">
        <f t="shared" si="0"/>
        <v>150000</v>
      </c>
      <c r="M11" s="17">
        <v>136472</v>
      </c>
      <c r="N11" s="18">
        <f t="shared" si="1"/>
        <v>13528</v>
      </c>
    </row>
    <row r="12" spans="1:14" ht="15" customHeight="1" x14ac:dyDescent="0.25">
      <c r="A12" s="11" t="s">
        <v>92</v>
      </c>
      <c r="B12" s="12" t="s">
        <v>11</v>
      </c>
      <c r="C12" s="13"/>
      <c r="D12" s="291" t="s">
        <v>16</v>
      </c>
      <c r="E12" s="291"/>
      <c r="F12" s="14">
        <v>1100000</v>
      </c>
      <c r="G12" s="15" t="s">
        <v>93</v>
      </c>
      <c r="H12" s="16" t="s">
        <v>98</v>
      </c>
      <c r="I12" s="14">
        <v>1100000</v>
      </c>
      <c r="J12" s="17"/>
      <c r="K12" s="17">
        <f>1000000+1300000</f>
        <v>2300000</v>
      </c>
      <c r="L12" s="17">
        <f t="shared" si="0"/>
        <v>3400000</v>
      </c>
      <c r="M12" s="17">
        <v>1881684</v>
      </c>
      <c r="N12" s="18">
        <f t="shared" si="1"/>
        <v>1518316</v>
      </c>
    </row>
    <row r="13" spans="1:14" ht="15" customHeight="1" x14ac:dyDescent="0.25">
      <c r="A13" s="11" t="s">
        <v>92</v>
      </c>
      <c r="B13" s="12" t="s">
        <v>11</v>
      </c>
      <c r="C13" s="13"/>
      <c r="D13" s="291" t="s">
        <v>17</v>
      </c>
      <c r="E13" s="291"/>
      <c r="F13" s="14">
        <v>182000</v>
      </c>
      <c r="G13" s="15" t="s">
        <v>93</v>
      </c>
      <c r="H13" s="16" t="s">
        <v>99</v>
      </c>
      <c r="I13" s="14">
        <v>182000</v>
      </c>
      <c r="J13" s="17"/>
      <c r="K13" s="17"/>
      <c r="L13" s="17">
        <f t="shared" si="0"/>
        <v>182000</v>
      </c>
      <c r="M13" s="17">
        <v>143124</v>
      </c>
      <c r="N13" s="18">
        <f t="shared" si="1"/>
        <v>38876</v>
      </c>
    </row>
    <row r="14" spans="1:14" ht="30" customHeight="1" x14ac:dyDescent="0.25">
      <c r="A14" s="11" t="s">
        <v>92</v>
      </c>
      <c r="B14" s="12" t="s">
        <v>11</v>
      </c>
      <c r="C14" s="13"/>
      <c r="D14" s="291" t="s">
        <v>18</v>
      </c>
      <c r="E14" s="291"/>
      <c r="F14" s="14">
        <v>150000</v>
      </c>
      <c r="G14" s="15" t="s">
        <v>100</v>
      </c>
      <c r="H14" s="16" t="s">
        <v>101</v>
      </c>
      <c r="I14" s="14">
        <v>150000</v>
      </c>
      <c r="J14" s="17"/>
      <c r="K14" s="17"/>
      <c r="L14" s="17">
        <f t="shared" si="0"/>
        <v>150000</v>
      </c>
      <c r="M14" s="17">
        <v>144832</v>
      </c>
      <c r="N14" s="18">
        <f t="shared" si="1"/>
        <v>5168</v>
      </c>
    </row>
    <row r="15" spans="1:14" ht="30" customHeight="1" x14ac:dyDescent="0.25">
      <c r="A15" s="11" t="s">
        <v>92</v>
      </c>
      <c r="B15" s="12" t="s">
        <v>11</v>
      </c>
      <c r="C15" s="13"/>
      <c r="D15" s="291" t="s">
        <v>19</v>
      </c>
      <c r="E15" s="291"/>
      <c r="F15" s="14">
        <v>150000</v>
      </c>
      <c r="G15" s="15" t="s">
        <v>100</v>
      </c>
      <c r="H15" s="16" t="s">
        <v>102</v>
      </c>
      <c r="I15" s="14">
        <v>150000</v>
      </c>
      <c r="J15" s="17">
        <v>60000</v>
      </c>
      <c r="K15" s="17"/>
      <c r="L15" s="17">
        <f>I15-J15</f>
        <v>90000</v>
      </c>
      <c r="M15" s="17">
        <v>68588</v>
      </c>
      <c r="N15" s="18">
        <f t="shared" si="1"/>
        <v>21412</v>
      </c>
    </row>
    <row r="16" spans="1:14" ht="15" customHeight="1" x14ac:dyDescent="0.25">
      <c r="A16" s="11" t="s">
        <v>92</v>
      </c>
      <c r="B16" s="12" t="s">
        <v>11</v>
      </c>
      <c r="C16" s="13"/>
      <c r="D16" s="291" t="s">
        <v>20</v>
      </c>
      <c r="E16" s="291"/>
      <c r="F16" s="14">
        <v>1200000</v>
      </c>
      <c r="G16" s="15" t="s">
        <v>81</v>
      </c>
      <c r="H16" s="16" t="s">
        <v>103</v>
      </c>
      <c r="I16" s="14">
        <v>1200000</v>
      </c>
      <c r="J16" s="17"/>
      <c r="K16" s="17">
        <v>300000</v>
      </c>
      <c r="L16" s="17">
        <f>K16+I16</f>
        <v>1500000</v>
      </c>
      <c r="M16" s="17">
        <v>1334532</v>
      </c>
      <c r="N16" s="18">
        <f t="shared" si="1"/>
        <v>165468</v>
      </c>
    </row>
    <row r="17" spans="1:14" ht="15" customHeight="1" x14ac:dyDescent="0.25">
      <c r="A17" s="11"/>
      <c r="B17" s="294"/>
      <c r="C17" s="295"/>
      <c r="D17" s="296" t="s">
        <v>21</v>
      </c>
      <c r="E17" s="296"/>
      <c r="F17" s="19">
        <v>2000</v>
      </c>
      <c r="G17" s="20" t="s">
        <v>93</v>
      </c>
      <c r="H17" s="21" t="s">
        <v>104</v>
      </c>
      <c r="I17" s="19">
        <v>2000</v>
      </c>
      <c r="J17" s="22"/>
      <c r="K17" s="22">
        <f>5020000+4200000</f>
        <v>9220000</v>
      </c>
      <c r="L17" s="17">
        <f>K17+I17</f>
        <v>9222000</v>
      </c>
      <c r="M17" s="22">
        <v>2700799</v>
      </c>
      <c r="N17" s="18">
        <f t="shared" si="1"/>
        <v>6521201</v>
      </c>
    </row>
    <row r="18" spans="1:14" ht="15.75" thickBot="1" x14ac:dyDescent="0.3">
      <c r="A18" s="23"/>
      <c r="B18" s="300"/>
      <c r="C18" s="300"/>
      <c r="D18" s="300"/>
      <c r="E18" s="300"/>
      <c r="F18" s="24">
        <f>SUM(F4:F17)</f>
        <v>13945000</v>
      </c>
      <c r="G18" s="25"/>
      <c r="H18" s="26" t="s">
        <v>77</v>
      </c>
      <c r="I18" s="24">
        <f>SUM(I4:I17)</f>
        <v>13945000</v>
      </c>
      <c r="J18" s="24"/>
      <c r="K18" s="24">
        <f>SUM(K4:K17)</f>
        <v>13463843</v>
      </c>
      <c r="L18" s="24">
        <f>SUM(L4:L17)</f>
        <v>27348843</v>
      </c>
      <c r="M18" s="24">
        <f>SUM(M4:M17)</f>
        <v>15432994</v>
      </c>
      <c r="N18" s="27">
        <f t="shared" si="1"/>
        <v>11915849</v>
      </c>
    </row>
    <row r="22" spans="1:14" ht="23.25" customHeight="1" x14ac:dyDescent="0.25"/>
    <row r="23" spans="1:14" ht="24.75" customHeight="1" x14ac:dyDescent="0.25">
      <c r="A23" s="301" t="s">
        <v>105</v>
      </c>
      <c r="B23" s="301"/>
      <c r="C23" s="301"/>
      <c r="D23" s="301"/>
      <c r="E23" s="301"/>
      <c r="F23" s="301"/>
      <c r="G23" s="301"/>
      <c r="H23" s="301"/>
      <c r="I23" s="301"/>
    </row>
    <row r="24" spans="1:14" ht="30" customHeight="1" x14ac:dyDescent="0.25">
      <c r="A24" s="28" t="s">
        <v>106</v>
      </c>
      <c r="B24" s="28" t="s">
        <v>107</v>
      </c>
      <c r="C24" s="28" t="s">
        <v>108</v>
      </c>
      <c r="D24" s="28" t="s">
        <v>109</v>
      </c>
      <c r="E24" s="28" t="s">
        <v>110</v>
      </c>
      <c r="F24" s="28" t="s">
        <v>111</v>
      </c>
      <c r="G24" s="28" t="s">
        <v>112</v>
      </c>
      <c r="H24" s="28" t="s">
        <v>113</v>
      </c>
      <c r="I24" s="28" t="s">
        <v>114</v>
      </c>
    </row>
    <row r="25" spans="1:14" ht="19.149999999999999" customHeight="1" x14ac:dyDescent="0.25">
      <c r="A25" s="297" t="s">
        <v>115</v>
      </c>
      <c r="B25" s="298"/>
      <c r="C25" s="298"/>
      <c r="D25" s="298"/>
      <c r="E25" s="298"/>
      <c r="F25" s="298"/>
      <c r="G25" s="298"/>
      <c r="H25" s="298"/>
      <c r="I25" s="299"/>
    </row>
    <row r="26" spans="1:14" ht="19.149999999999999" customHeight="1" x14ac:dyDescent="0.25">
      <c r="A26" s="29" t="s">
        <v>80</v>
      </c>
      <c r="B26" s="29" t="s">
        <v>116</v>
      </c>
      <c r="C26" s="30">
        <v>400000</v>
      </c>
      <c r="D26" s="31"/>
      <c r="E26" s="32"/>
      <c r="F26" s="30">
        <f t="shared" ref="F26:F34" si="2">E26+C26</f>
        <v>400000</v>
      </c>
      <c r="G26" s="30">
        <v>153400</v>
      </c>
      <c r="H26" s="30">
        <f t="shared" ref="H26:H36" si="3">F26-G26</f>
        <v>246600</v>
      </c>
      <c r="I26" s="33">
        <f>(G26*100)/F26</f>
        <v>38.35</v>
      </c>
      <c r="M26" s="34"/>
    </row>
    <row r="27" spans="1:14" ht="19.149999999999999" customHeight="1" x14ac:dyDescent="0.25">
      <c r="A27" s="29" t="s">
        <v>4</v>
      </c>
      <c r="B27" s="29" t="s">
        <v>5</v>
      </c>
      <c r="C27" s="30">
        <v>500000</v>
      </c>
      <c r="D27" s="31"/>
      <c r="E27" s="32">
        <f>400000+100000+25000</f>
        <v>525000</v>
      </c>
      <c r="F27" s="30">
        <f t="shared" si="2"/>
        <v>1025000</v>
      </c>
      <c r="G27" s="30">
        <v>1024648</v>
      </c>
      <c r="H27" s="30">
        <f t="shared" si="3"/>
        <v>352</v>
      </c>
      <c r="I27" s="33">
        <f t="shared" ref="I27:I35" si="4">(G27*100)/F27</f>
        <v>99.965658536585366</v>
      </c>
      <c r="K27" s="35"/>
    </row>
    <row r="28" spans="1:14" ht="19.149999999999999" customHeight="1" x14ac:dyDescent="0.25">
      <c r="A28" s="29" t="s">
        <v>7</v>
      </c>
      <c r="B28" s="36" t="s">
        <v>8</v>
      </c>
      <c r="C28" s="30">
        <v>8516000</v>
      </c>
      <c r="D28" s="31"/>
      <c r="E28" s="32"/>
      <c r="F28" s="30">
        <f t="shared" si="2"/>
        <v>8516000</v>
      </c>
      <c r="G28" s="30">
        <v>6704067</v>
      </c>
      <c r="H28" s="30">
        <f t="shared" si="3"/>
        <v>1811933</v>
      </c>
      <c r="I28" s="33">
        <f t="shared" si="4"/>
        <v>78.723191639267256</v>
      </c>
    </row>
    <row r="29" spans="1:14" ht="19.149999999999999" customHeight="1" x14ac:dyDescent="0.25">
      <c r="A29" s="29" t="s">
        <v>92</v>
      </c>
      <c r="B29" s="29" t="s">
        <v>117</v>
      </c>
      <c r="C29" s="30">
        <v>200000</v>
      </c>
      <c r="D29" s="31"/>
      <c r="E29" s="32">
        <v>500000</v>
      </c>
      <c r="F29" s="30">
        <f t="shared" si="2"/>
        <v>700000</v>
      </c>
      <c r="G29" s="30">
        <f>501276+131108</f>
        <v>632384</v>
      </c>
      <c r="H29" s="30">
        <f t="shared" si="3"/>
        <v>67616</v>
      </c>
      <c r="I29" s="33">
        <f t="shared" si="4"/>
        <v>90.340571428571423</v>
      </c>
    </row>
    <row r="30" spans="1:14" ht="19.149999999999999" customHeight="1" x14ac:dyDescent="0.25">
      <c r="A30" s="29" t="s">
        <v>92</v>
      </c>
      <c r="B30" s="29" t="s">
        <v>118</v>
      </c>
      <c r="C30" s="30">
        <v>450000</v>
      </c>
      <c r="D30" s="31"/>
      <c r="E30" s="32">
        <v>60000</v>
      </c>
      <c r="F30" s="30">
        <f t="shared" si="2"/>
        <v>510000</v>
      </c>
      <c r="G30" s="30">
        <v>508464</v>
      </c>
      <c r="H30" s="30">
        <f t="shared" si="3"/>
        <v>1536</v>
      </c>
      <c r="I30" s="33">
        <f t="shared" si="4"/>
        <v>99.698823529411769</v>
      </c>
    </row>
    <row r="31" spans="1:14" ht="19.149999999999999" customHeight="1" x14ac:dyDescent="0.25">
      <c r="A31" s="29" t="s">
        <v>92</v>
      </c>
      <c r="B31" s="29" t="s">
        <v>119</v>
      </c>
      <c r="C31" s="30">
        <v>150000</v>
      </c>
      <c r="D31" s="31"/>
      <c r="E31" s="32"/>
      <c r="F31" s="30">
        <f t="shared" si="2"/>
        <v>150000</v>
      </c>
      <c r="G31" s="30">
        <v>136472</v>
      </c>
      <c r="H31" s="30">
        <f t="shared" si="3"/>
        <v>13528</v>
      </c>
      <c r="I31" s="33">
        <f t="shared" si="4"/>
        <v>90.981333333333339</v>
      </c>
    </row>
    <row r="32" spans="1:14" ht="19.149999999999999" customHeight="1" x14ac:dyDescent="0.25">
      <c r="A32" s="29" t="s">
        <v>92</v>
      </c>
      <c r="B32" s="29" t="s">
        <v>120</v>
      </c>
      <c r="C32" s="30">
        <v>1100000</v>
      </c>
      <c r="D32" s="31"/>
      <c r="E32" s="32">
        <f>1000000+1300000</f>
        <v>2300000</v>
      </c>
      <c r="F32" s="30">
        <f t="shared" si="2"/>
        <v>3400000</v>
      </c>
      <c r="G32" s="30">
        <v>1881684</v>
      </c>
      <c r="H32" s="30">
        <f t="shared" si="3"/>
        <v>1518316</v>
      </c>
      <c r="I32" s="33">
        <f t="shared" si="4"/>
        <v>55.343647058823528</v>
      </c>
    </row>
    <row r="33" spans="1:12" ht="19.149999999999999" customHeight="1" x14ac:dyDescent="0.25">
      <c r="A33" s="29" t="s">
        <v>92</v>
      </c>
      <c r="B33" s="29" t="s">
        <v>121</v>
      </c>
      <c r="C33" s="30">
        <v>182000</v>
      </c>
      <c r="D33" s="31"/>
      <c r="E33" s="32"/>
      <c r="F33" s="30">
        <f t="shared" si="2"/>
        <v>182000</v>
      </c>
      <c r="G33" s="30">
        <v>143124</v>
      </c>
      <c r="H33" s="30">
        <f t="shared" si="3"/>
        <v>38876</v>
      </c>
      <c r="I33" s="33">
        <f t="shared" si="4"/>
        <v>78.639560439560441</v>
      </c>
    </row>
    <row r="34" spans="1:12" ht="19.149999999999999" customHeight="1" x14ac:dyDescent="0.25">
      <c r="A34" s="29" t="s">
        <v>92</v>
      </c>
      <c r="B34" s="29" t="s">
        <v>122</v>
      </c>
      <c r="C34" s="30">
        <v>150000</v>
      </c>
      <c r="D34" s="31"/>
      <c r="E34" s="32"/>
      <c r="F34" s="30">
        <f t="shared" si="2"/>
        <v>150000</v>
      </c>
      <c r="G34" s="30">
        <v>144832</v>
      </c>
      <c r="H34" s="30">
        <f t="shared" si="3"/>
        <v>5168</v>
      </c>
      <c r="I34" s="33">
        <f t="shared" si="4"/>
        <v>96.554666666666662</v>
      </c>
    </row>
    <row r="35" spans="1:12" ht="19.149999999999999" customHeight="1" x14ac:dyDescent="0.25">
      <c r="A35" s="29" t="s">
        <v>92</v>
      </c>
      <c r="B35" s="29" t="s">
        <v>123</v>
      </c>
      <c r="C35" s="30">
        <v>150000</v>
      </c>
      <c r="D35" s="30">
        <v>60000</v>
      </c>
      <c r="E35" s="32"/>
      <c r="F35" s="30">
        <f>C35-D35</f>
        <v>90000</v>
      </c>
      <c r="G35" s="30">
        <v>68588</v>
      </c>
      <c r="H35" s="30">
        <f t="shared" si="3"/>
        <v>21412</v>
      </c>
      <c r="I35" s="33">
        <f t="shared" si="4"/>
        <v>76.208888888888893</v>
      </c>
    </row>
    <row r="36" spans="1:12" ht="19.149999999999999" customHeight="1" x14ac:dyDescent="0.25">
      <c r="A36" s="29" t="s">
        <v>92</v>
      </c>
      <c r="B36" s="29" t="s">
        <v>124</v>
      </c>
      <c r="C36" s="30">
        <v>1200000</v>
      </c>
      <c r="D36" s="31"/>
      <c r="E36" s="32">
        <v>300000</v>
      </c>
      <c r="F36" s="30">
        <f>E36+C36</f>
        <v>1500000</v>
      </c>
      <c r="G36" s="30">
        <v>1334532</v>
      </c>
      <c r="H36" s="30">
        <f t="shared" si="3"/>
        <v>165468</v>
      </c>
      <c r="I36" s="33">
        <f>(G36*100)/F36</f>
        <v>88.968800000000002</v>
      </c>
    </row>
    <row r="37" spans="1:12" ht="19.149999999999999" customHeight="1" x14ac:dyDescent="0.25">
      <c r="A37" s="31"/>
      <c r="B37" s="37" t="s">
        <v>125</v>
      </c>
      <c r="C37" s="38">
        <f>SUM(C26:C36)</f>
        <v>12998000</v>
      </c>
      <c r="D37" s="38">
        <f t="shared" ref="D37:H37" si="5">SUM(D26:D36)</f>
        <v>60000</v>
      </c>
      <c r="E37" s="38">
        <f t="shared" si="5"/>
        <v>3685000</v>
      </c>
      <c r="F37" s="38">
        <f t="shared" si="5"/>
        <v>16623000</v>
      </c>
      <c r="G37" s="38">
        <f t="shared" si="5"/>
        <v>12732195</v>
      </c>
      <c r="H37" s="38">
        <f t="shared" si="5"/>
        <v>3890805</v>
      </c>
      <c r="I37" s="39">
        <f>(G37*100)/F37</f>
        <v>76.59384587619563</v>
      </c>
    </row>
    <row r="38" spans="1:12" ht="19.149999999999999" customHeight="1" x14ac:dyDescent="0.25">
      <c r="A38" s="297" t="s">
        <v>126</v>
      </c>
      <c r="B38" s="298"/>
      <c r="C38" s="298"/>
      <c r="D38" s="298"/>
      <c r="E38" s="298"/>
      <c r="F38" s="298"/>
      <c r="G38" s="298"/>
      <c r="H38" s="298"/>
      <c r="I38" s="299"/>
      <c r="L38" s="40"/>
    </row>
    <row r="39" spans="1:12" ht="19.149999999999999" customHeight="1" x14ac:dyDescent="0.25">
      <c r="A39" s="41" t="s">
        <v>9</v>
      </c>
      <c r="B39" s="41" t="s">
        <v>127</v>
      </c>
      <c r="C39" s="42">
        <v>845000</v>
      </c>
      <c r="D39" s="43"/>
      <c r="E39" s="44">
        <v>558843</v>
      </c>
      <c r="F39" s="42">
        <f>E39+C39</f>
        <v>1403843</v>
      </c>
      <c r="G39" s="42">
        <v>0</v>
      </c>
      <c r="H39" s="42">
        <f>F39-G39</f>
        <v>1403843</v>
      </c>
      <c r="I39" s="45">
        <f>(G39*100)/F39</f>
        <v>0</v>
      </c>
    </row>
    <row r="40" spans="1:12" s="46" customFormat="1" ht="19.149999999999999" customHeight="1" x14ac:dyDescent="0.25">
      <c r="A40" s="297" t="s">
        <v>128</v>
      </c>
      <c r="B40" s="298"/>
      <c r="C40" s="298"/>
      <c r="D40" s="298"/>
      <c r="E40" s="298"/>
      <c r="F40" s="298"/>
      <c r="G40" s="298"/>
      <c r="H40" s="298"/>
      <c r="I40" s="299"/>
    </row>
    <row r="41" spans="1:12" ht="19.149999999999999" customHeight="1" x14ac:dyDescent="0.25">
      <c r="A41" s="41" t="s">
        <v>83</v>
      </c>
      <c r="B41" s="41" t="s">
        <v>129</v>
      </c>
      <c r="C41" s="42">
        <v>100000</v>
      </c>
      <c r="D41" s="43"/>
      <c r="E41" s="44"/>
      <c r="F41" s="42">
        <f>E41+C41</f>
        <v>100000</v>
      </c>
      <c r="G41" s="42">
        <v>0</v>
      </c>
      <c r="H41" s="42">
        <f>F41-G41</f>
        <v>100000</v>
      </c>
      <c r="I41" s="45">
        <f>(G41*100)/F41</f>
        <v>0</v>
      </c>
    </row>
    <row r="42" spans="1:12" ht="19.149999999999999" customHeight="1" x14ac:dyDescent="0.25">
      <c r="A42" s="31"/>
      <c r="B42" s="37" t="s">
        <v>130</v>
      </c>
      <c r="C42" s="38">
        <f>C41+C39+C37</f>
        <v>13943000</v>
      </c>
      <c r="D42" s="38">
        <f t="shared" ref="D42:H42" si="6">D41+D39+D37</f>
        <v>60000</v>
      </c>
      <c r="E42" s="38">
        <f t="shared" si="6"/>
        <v>4243843</v>
      </c>
      <c r="F42" s="38">
        <f t="shared" si="6"/>
        <v>18126843</v>
      </c>
      <c r="G42" s="38">
        <f t="shared" si="6"/>
        <v>12732195</v>
      </c>
      <c r="H42" s="38">
        <f t="shared" si="6"/>
        <v>5394648</v>
      </c>
      <c r="I42" s="47">
        <f>(G42*100)/F42</f>
        <v>70.239450962310428</v>
      </c>
    </row>
    <row r="43" spans="1:12" ht="19.149999999999999" customHeight="1" x14ac:dyDescent="0.25">
      <c r="A43" s="297" t="s">
        <v>131</v>
      </c>
      <c r="B43" s="298"/>
      <c r="C43" s="298"/>
      <c r="D43" s="298"/>
      <c r="E43" s="298"/>
      <c r="F43" s="298"/>
      <c r="G43" s="298"/>
      <c r="H43" s="298"/>
      <c r="I43" s="299"/>
    </row>
    <row r="44" spans="1:12" ht="19.149999999999999" customHeight="1" x14ac:dyDescent="0.25">
      <c r="A44" s="41"/>
      <c r="B44" s="41" t="s">
        <v>21</v>
      </c>
      <c r="C44" s="42">
        <v>2000</v>
      </c>
      <c r="D44" s="43"/>
      <c r="E44" s="44">
        <v>9220000</v>
      </c>
      <c r="F44" s="42">
        <f>E44+C44</f>
        <v>9222000</v>
      </c>
      <c r="G44" s="42">
        <v>2700799</v>
      </c>
      <c r="H44" s="42">
        <f>F44-G44</f>
        <v>6521201</v>
      </c>
      <c r="I44" s="45">
        <f>(G44*100)/F44</f>
        <v>29.286477987421385</v>
      </c>
    </row>
    <row r="45" spans="1:12" ht="19.149999999999999" customHeight="1" x14ac:dyDescent="0.25">
      <c r="A45" s="31"/>
      <c r="B45" s="37" t="s">
        <v>46</v>
      </c>
      <c r="C45" s="38">
        <f>SUM(C42,C44)</f>
        <v>13945000</v>
      </c>
      <c r="D45" s="38">
        <f t="shared" ref="D45:H45" si="7">SUM(D42,D44)</f>
        <v>60000</v>
      </c>
      <c r="E45" s="38">
        <f t="shared" si="7"/>
        <v>13463843</v>
      </c>
      <c r="F45" s="38">
        <f t="shared" si="7"/>
        <v>27348843</v>
      </c>
      <c r="G45" s="38">
        <f t="shared" si="7"/>
        <v>15432994</v>
      </c>
      <c r="H45" s="38">
        <f t="shared" si="7"/>
        <v>11915849</v>
      </c>
      <c r="I45" s="48">
        <f>(G45*100)/F45</f>
        <v>56.430153187833213</v>
      </c>
    </row>
    <row r="46" spans="1:12" ht="19.149999999999999" customHeight="1" x14ac:dyDescent="0.25"/>
  </sheetData>
  <mergeCells count="25">
    <mergeCell ref="A43:I43"/>
    <mergeCell ref="B18:C18"/>
    <mergeCell ref="D18:E18"/>
    <mergeCell ref="A23:I23"/>
    <mergeCell ref="A25:I25"/>
    <mergeCell ref="A38:I38"/>
    <mergeCell ref="A40:I40"/>
    <mergeCell ref="D13:E13"/>
    <mergeCell ref="D14:E14"/>
    <mergeCell ref="D15:E15"/>
    <mergeCell ref="D16:E16"/>
    <mergeCell ref="B17:C17"/>
    <mergeCell ref="D17:E17"/>
    <mergeCell ref="D12:E12"/>
    <mergeCell ref="A1:G1"/>
    <mergeCell ref="B3:C3"/>
    <mergeCell ref="D3:E3"/>
    <mergeCell ref="D4:E4"/>
    <mergeCell ref="D5:E5"/>
    <mergeCell ref="D6:E6"/>
    <mergeCell ref="D7:E7"/>
    <mergeCell ref="D8:E8"/>
    <mergeCell ref="D9:E9"/>
    <mergeCell ref="D10:E10"/>
    <mergeCell ref="D11:E1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workbookViewId="0">
      <selection activeCell="H47" sqref="H47"/>
    </sheetView>
  </sheetViews>
  <sheetFormatPr defaultRowHeight="15" x14ac:dyDescent="0.25"/>
  <cols>
    <col min="1" max="1" width="9.85546875" style="1" customWidth="1"/>
    <col min="2" max="2" width="19" style="1" customWidth="1"/>
    <col min="3" max="3" width="9.140625" style="1"/>
    <col min="4" max="4" width="16.7109375" style="1" customWidth="1"/>
    <col min="5" max="5" width="9.140625" style="1"/>
    <col min="6" max="6" width="16.7109375" style="1" customWidth="1"/>
    <col min="7" max="8" width="14" style="1" customWidth="1"/>
    <col min="9" max="9" width="34.7109375" style="1" customWidth="1"/>
    <col min="10" max="10" width="14.7109375" style="1" customWidth="1"/>
    <col min="11" max="11" width="30" style="6" customWidth="1"/>
    <col min="12" max="16384" width="9.140625" style="1"/>
  </cols>
  <sheetData>
    <row r="1" spans="2:11" ht="20.25" customHeight="1" x14ac:dyDescent="0.25">
      <c r="B1" s="287" t="s">
        <v>134</v>
      </c>
      <c r="C1" s="287"/>
      <c r="D1" s="287"/>
      <c r="E1" s="287"/>
      <c r="F1" s="287"/>
      <c r="G1" s="287"/>
      <c r="H1" s="287"/>
      <c r="I1" s="287"/>
      <c r="J1" s="287"/>
      <c r="K1" s="287"/>
    </row>
    <row r="3" spans="2:11" ht="44.25" customHeight="1" x14ac:dyDescent="0.25">
      <c r="B3" s="86" t="s">
        <v>0</v>
      </c>
      <c r="C3" s="288" t="s">
        <v>1</v>
      </c>
      <c r="D3" s="288"/>
      <c r="E3" s="288" t="s">
        <v>2</v>
      </c>
      <c r="F3" s="288"/>
      <c r="G3" s="86" t="s">
        <v>27</v>
      </c>
      <c r="H3" s="86" t="s">
        <v>52</v>
      </c>
      <c r="I3" s="86" t="s">
        <v>28</v>
      </c>
      <c r="J3" s="86" t="s">
        <v>137</v>
      </c>
      <c r="K3" s="86" t="s">
        <v>25</v>
      </c>
    </row>
    <row r="4" spans="2:11" ht="18.75" customHeight="1" x14ac:dyDescent="0.25">
      <c r="B4" s="289" t="s">
        <v>22</v>
      </c>
      <c r="C4" s="289"/>
      <c r="D4" s="289"/>
      <c r="E4" s="289"/>
      <c r="F4" s="289"/>
      <c r="G4" s="289"/>
      <c r="H4" s="289"/>
      <c r="I4" s="289"/>
      <c r="J4" s="52">
        <f>SUM(J5:J17)</f>
        <v>14998000</v>
      </c>
      <c r="K4" s="52"/>
    </row>
    <row r="5" spans="2:11" s="4" customFormat="1" ht="30.75" customHeight="1" x14ac:dyDescent="0.25">
      <c r="B5" s="84" t="s">
        <v>135</v>
      </c>
      <c r="C5" s="279" t="s">
        <v>3</v>
      </c>
      <c r="D5" s="279"/>
      <c r="E5" s="280" t="s">
        <v>12</v>
      </c>
      <c r="F5" s="280"/>
      <c r="G5" s="85" t="s">
        <v>136</v>
      </c>
      <c r="H5" s="3">
        <v>200000</v>
      </c>
      <c r="I5" s="84" t="s">
        <v>29</v>
      </c>
      <c r="J5" s="3">
        <v>200000</v>
      </c>
      <c r="K5" s="50" t="s">
        <v>62</v>
      </c>
    </row>
    <row r="6" spans="2:11" s="4" customFormat="1" ht="30.75" customHeight="1" x14ac:dyDescent="0.25">
      <c r="B6" s="84" t="s">
        <v>4</v>
      </c>
      <c r="C6" s="279" t="s">
        <v>5</v>
      </c>
      <c r="D6" s="279"/>
      <c r="E6" s="280" t="s">
        <v>6</v>
      </c>
      <c r="F6" s="280"/>
      <c r="G6" s="85" t="s">
        <v>54</v>
      </c>
      <c r="H6" s="3">
        <v>10000000</v>
      </c>
      <c r="I6" s="84" t="s">
        <v>30</v>
      </c>
      <c r="J6" s="3">
        <v>1000000</v>
      </c>
      <c r="K6" s="50" t="s">
        <v>62</v>
      </c>
    </row>
    <row r="7" spans="2:11" s="4" customFormat="1" ht="30.75" customHeight="1" x14ac:dyDescent="0.25">
      <c r="B7" s="84" t="s">
        <v>7</v>
      </c>
      <c r="C7" s="279" t="s">
        <v>8</v>
      </c>
      <c r="D7" s="279"/>
      <c r="E7" s="280" t="s">
        <v>138</v>
      </c>
      <c r="F7" s="280"/>
      <c r="G7" s="85" t="s">
        <v>54</v>
      </c>
      <c r="H7" s="302">
        <v>30000000</v>
      </c>
      <c r="I7" s="84" t="s">
        <v>31</v>
      </c>
      <c r="J7" s="3">
        <v>9298000</v>
      </c>
      <c r="K7" s="50" t="s">
        <v>62</v>
      </c>
    </row>
    <row r="8" spans="2:11" s="4" customFormat="1" ht="30.75" customHeight="1" x14ac:dyDescent="0.25">
      <c r="B8" s="84" t="s">
        <v>7</v>
      </c>
      <c r="C8" s="279" t="s">
        <v>8</v>
      </c>
      <c r="D8" s="279"/>
      <c r="E8" s="280" t="s">
        <v>138</v>
      </c>
      <c r="F8" s="280"/>
      <c r="G8" s="85" t="s">
        <v>54</v>
      </c>
      <c r="H8" s="303"/>
      <c r="I8" s="84" t="s">
        <v>32</v>
      </c>
      <c r="J8" s="3">
        <v>500000</v>
      </c>
      <c r="K8" s="50" t="s">
        <v>63</v>
      </c>
    </row>
    <row r="9" spans="2:11" s="4" customFormat="1" ht="30.75" customHeight="1" x14ac:dyDescent="0.25">
      <c r="B9" s="84" t="s">
        <v>139</v>
      </c>
      <c r="C9" s="279" t="s">
        <v>11</v>
      </c>
      <c r="D9" s="279"/>
      <c r="E9" s="280" t="s">
        <v>13</v>
      </c>
      <c r="F9" s="280"/>
      <c r="G9" s="85" t="s">
        <v>136</v>
      </c>
      <c r="H9" s="304">
        <v>4090000</v>
      </c>
      <c r="I9" s="84" t="s">
        <v>32</v>
      </c>
      <c r="J9" s="3">
        <v>200000</v>
      </c>
      <c r="K9" s="50" t="s">
        <v>63</v>
      </c>
    </row>
    <row r="10" spans="2:11" s="4" customFormat="1" ht="30.75" customHeight="1" x14ac:dyDescent="0.25">
      <c r="B10" s="84" t="s">
        <v>139</v>
      </c>
      <c r="C10" s="279" t="s">
        <v>11</v>
      </c>
      <c r="D10" s="279"/>
      <c r="E10" s="280" t="s">
        <v>35</v>
      </c>
      <c r="F10" s="280"/>
      <c r="G10" s="85" t="s">
        <v>136</v>
      </c>
      <c r="H10" s="305"/>
      <c r="I10" s="84" t="s">
        <v>36</v>
      </c>
      <c r="J10" s="3">
        <v>100000</v>
      </c>
      <c r="K10" s="50" t="s">
        <v>63</v>
      </c>
    </row>
    <row r="11" spans="2:11" s="4" customFormat="1" ht="30.75" customHeight="1" x14ac:dyDescent="0.25">
      <c r="B11" s="84" t="s">
        <v>139</v>
      </c>
      <c r="C11" s="279" t="s">
        <v>11</v>
      </c>
      <c r="D11" s="279"/>
      <c r="E11" s="280" t="s">
        <v>14</v>
      </c>
      <c r="F11" s="280"/>
      <c r="G11" s="85" t="s">
        <v>136</v>
      </c>
      <c r="H11" s="305"/>
      <c r="I11" s="84" t="s">
        <v>33</v>
      </c>
      <c r="J11" s="3">
        <v>450000</v>
      </c>
      <c r="K11" s="50" t="s">
        <v>147</v>
      </c>
    </row>
    <row r="12" spans="2:11" s="4" customFormat="1" ht="30.75" customHeight="1" x14ac:dyDescent="0.25">
      <c r="B12" s="84" t="s">
        <v>139</v>
      </c>
      <c r="C12" s="279" t="s">
        <v>11</v>
      </c>
      <c r="D12" s="279"/>
      <c r="E12" s="280" t="s">
        <v>15</v>
      </c>
      <c r="F12" s="280"/>
      <c r="G12" s="85" t="s">
        <v>136</v>
      </c>
      <c r="H12" s="305"/>
      <c r="I12" s="84" t="s">
        <v>37</v>
      </c>
      <c r="J12" s="3">
        <v>50000</v>
      </c>
      <c r="K12" s="50" t="s">
        <v>146</v>
      </c>
    </row>
    <row r="13" spans="2:11" s="4" customFormat="1" ht="30.75" customHeight="1" x14ac:dyDescent="0.25">
      <c r="B13" s="84" t="s">
        <v>139</v>
      </c>
      <c r="C13" s="279" t="s">
        <v>11</v>
      </c>
      <c r="D13" s="279"/>
      <c r="E13" s="280" t="s">
        <v>16</v>
      </c>
      <c r="F13" s="280"/>
      <c r="G13" s="85" t="s">
        <v>136</v>
      </c>
      <c r="H13" s="305"/>
      <c r="I13" s="84" t="s">
        <v>34</v>
      </c>
      <c r="J13" s="3">
        <v>838000</v>
      </c>
      <c r="K13" s="50" t="s">
        <v>63</v>
      </c>
    </row>
    <row r="14" spans="2:11" s="4" customFormat="1" ht="30.75" customHeight="1" x14ac:dyDescent="0.25">
      <c r="B14" s="84" t="s">
        <v>139</v>
      </c>
      <c r="C14" s="279" t="s">
        <v>11</v>
      </c>
      <c r="D14" s="279"/>
      <c r="E14" s="280" t="s">
        <v>142</v>
      </c>
      <c r="F14" s="280"/>
      <c r="G14" s="85" t="s">
        <v>136</v>
      </c>
      <c r="H14" s="305"/>
      <c r="I14" s="84" t="s">
        <v>38</v>
      </c>
      <c r="J14" s="3">
        <v>62000</v>
      </c>
      <c r="K14" s="50" t="s">
        <v>63</v>
      </c>
    </row>
    <row r="15" spans="2:11" s="4" customFormat="1" ht="30.75" customHeight="1" x14ac:dyDescent="0.25">
      <c r="B15" s="84" t="s">
        <v>139</v>
      </c>
      <c r="C15" s="279" t="s">
        <v>11</v>
      </c>
      <c r="D15" s="279"/>
      <c r="E15" s="280" t="s">
        <v>18</v>
      </c>
      <c r="F15" s="280"/>
      <c r="G15" s="85" t="s">
        <v>136</v>
      </c>
      <c r="H15" s="305"/>
      <c r="I15" s="84" t="s">
        <v>40</v>
      </c>
      <c r="J15" s="3">
        <v>100000</v>
      </c>
      <c r="K15" s="50" t="s">
        <v>66</v>
      </c>
    </row>
    <row r="16" spans="2:11" s="4" customFormat="1" ht="30.75" customHeight="1" x14ac:dyDescent="0.25">
      <c r="B16" s="84" t="s">
        <v>139</v>
      </c>
      <c r="C16" s="279" t="s">
        <v>11</v>
      </c>
      <c r="D16" s="279"/>
      <c r="E16" s="280" t="s">
        <v>19</v>
      </c>
      <c r="F16" s="280"/>
      <c r="G16" s="85" t="s">
        <v>136</v>
      </c>
      <c r="H16" s="305"/>
      <c r="I16" s="84" t="s">
        <v>41</v>
      </c>
      <c r="J16" s="3">
        <v>200000</v>
      </c>
      <c r="K16" s="50" t="s">
        <v>66</v>
      </c>
    </row>
    <row r="17" spans="2:11" ht="30.75" customHeight="1" x14ac:dyDescent="0.25">
      <c r="B17" s="84" t="s">
        <v>139</v>
      </c>
      <c r="C17" s="279" t="s">
        <v>11</v>
      </c>
      <c r="D17" s="279"/>
      <c r="E17" s="280" t="s">
        <v>20</v>
      </c>
      <c r="F17" s="280"/>
      <c r="G17" s="85" t="s">
        <v>136</v>
      </c>
      <c r="H17" s="306"/>
      <c r="I17" s="84" t="s">
        <v>42</v>
      </c>
      <c r="J17" s="3">
        <v>2000000</v>
      </c>
      <c r="K17" s="50" t="s">
        <v>62</v>
      </c>
    </row>
    <row r="18" spans="2:11" ht="23.25" customHeight="1" x14ac:dyDescent="0.25">
      <c r="B18" s="285" t="s">
        <v>23</v>
      </c>
      <c r="C18" s="285"/>
      <c r="D18" s="285"/>
      <c r="E18" s="285"/>
      <c r="F18" s="285"/>
      <c r="G18" s="285"/>
      <c r="H18" s="285"/>
      <c r="I18" s="285"/>
      <c r="J18" s="53">
        <f>J19</f>
        <v>2200000</v>
      </c>
      <c r="K18" s="53"/>
    </row>
    <row r="19" spans="2:11" ht="47.25" customHeight="1" x14ac:dyDescent="0.25">
      <c r="B19" s="84" t="s">
        <v>9</v>
      </c>
      <c r="C19" s="279" t="s">
        <v>10</v>
      </c>
      <c r="D19" s="279"/>
      <c r="E19" s="280" t="s">
        <v>141</v>
      </c>
      <c r="F19" s="280"/>
      <c r="G19" s="85" t="s">
        <v>140</v>
      </c>
      <c r="H19" s="5">
        <v>8500000</v>
      </c>
      <c r="I19" s="84" t="s">
        <v>43</v>
      </c>
      <c r="J19" s="3">
        <v>2200000</v>
      </c>
      <c r="K19" s="50" t="s">
        <v>144</v>
      </c>
    </row>
    <row r="20" spans="2:11" ht="22.5" customHeight="1" x14ac:dyDescent="0.25">
      <c r="B20" s="285" t="s">
        <v>24</v>
      </c>
      <c r="C20" s="285"/>
      <c r="D20" s="285"/>
      <c r="E20" s="285"/>
      <c r="F20" s="285"/>
      <c r="G20" s="285"/>
      <c r="H20" s="285"/>
      <c r="I20" s="285"/>
      <c r="J20" s="53">
        <f>SUM(J21:J22)</f>
        <v>1500000</v>
      </c>
      <c r="K20" s="53"/>
    </row>
    <row r="21" spans="2:11" ht="30.75" customHeight="1" x14ac:dyDescent="0.25">
      <c r="B21" s="84" t="s">
        <v>57</v>
      </c>
      <c r="C21" s="279" t="s">
        <v>58</v>
      </c>
      <c r="D21" s="279"/>
      <c r="E21" s="280" t="s">
        <v>150</v>
      </c>
      <c r="F21" s="280"/>
      <c r="G21" s="85" t="s">
        <v>48</v>
      </c>
      <c r="H21" s="5">
        <v>5250000</v>
      </c>
      <c r="I21" s="84" t="s">
        <v>44</v>
      </c>
      <c r="J21" s="3">
        <v>1490000</v>
      </c>
      <c r="K21" s="50" t="s">
        <v>68</v>
      </c>
    </row>
    <row r="22" spans="2:11" ht="30.75" customHeight="1" x14ac:dyDescent="0.25">
      <c r="B22" s="84" t="s">
        <v>148</v>
      </c>
      <c r="C22" s="279" t="s">
        <v>149</v>
      </c>
      <c r="D22" s="279"/>
      <c r="E22" s="280" t="s">
        <v>60</v>
      </c>
      <c r="F22" s="280"/>
      <c r="G22" s="85" t="s">
        <v>136</v>
      </c>
      <c r="H22" s="5">
        <v>10000</v>
      </c>
      <c r="I22" s="84" t="s">
        <v>45</v>
      </c>
      <c r="J22" s="3">
        <v>10000</v>
      </c>
      <c r="K22" s="50" t="s">
        <v>68</v>
      </c>
    </row>
    <row r="23" spans="2:11" ht="30.75" customHeight="1" x14ac:dyDescent="0.25">
      <c r="B23" s="281" t="s">
        <v>131</v>
      </c>
      <c r="C23" s="282"/>
      <c r="D23" s="282"/>
      <c r="E23" s="282"/>
      <c r="F23" s="282"/>
      <c r="G23" s="282"/>
      <c r="H23" s="282"/>
      <c r="I23" s="282"/>
      <c r="J23" s="64">
        <f>J24</f>
        <v>2000</v>
      </c>
      <c r="K23" s="64"/>
    </row>
    <row r="24" spans="2:11" ht="30.75" customHeight="1" x14ac:dyDescent="0.25">
      <c r="B24" s="61"/>
      <c r="C24" s="283"/>
      <c r="D24" s="283"/>
      <c r="E24" s="284" t="s">
        <v>21</v>
      </c>
      <c r="F24" s="284"/>
      <c r="G24" s="87" t="s">
        <v>136</v>
      </c>
      <c r="H24" s="62"/>
      <c r="I24" s="89" t="s">
        <v>132</v>
      </c>
      <c r="J24" s="63">
        <v>2000</v>
      </c>
      <c r="K24" s="50" t="s">
        <v>145</v>
      </c>
    </row>
    <row r="25" spans="2:11" ht="25.5" customHeight="1" x14ac:dyDescent="0.25">
      <c r="B25" s="65"/>
      <c r="C25" s="278"/>
      <c r="D25" s="278"/>
      <c r="E25" s="278"/>
      <c r="F25" s="278"/>
      <c r="G25" s="88"/>
      <c r="H25" s="66"/>
      <c r="I25" s="54" t="s">
        <v>46</v>
      </c>
      <c r="J25" s="55">
        <f>J20+J18+J4+J23</f>
        <v>18700000</v>
      </c>
      <c r="K25" s="55"/>
    </row>
    <row r="26" spans="2:11" ht="33.75" customHeight="1" x14ac:dyDescent="0.25">
      <c r="B26" s="286" t="s">
        <v>151</v>
      </c>
      <c r="C26" s="286"/>
      <c r="D26" s="286"/>
      <c r="E26" s="286"/>
      <c r="F26" s="286"/>
      <c r="G26" s="286"/>
      <c r="H26" s="286"/>
      <c r="I26" s="286"/>
      <c r="J26" s="286"/>
      <c r="K26" s="286"/>
    </row>
    <row r="27" spans="2:11" ht="15" customHeight="1" x14ac:dyDescent="0.25">
      <c r="B27" s="286" t="s">
        <v>152</v>
      </c>
      <c r="C27" s="286"/>
      <c r="D27" s="286"/>
      <c r="E27" s="286"/>
      <c r="F27" s="286"/>
      <c r="G27" s="286"/>
      <c r="H27" s="286"/>
      <c r="I27" s="286"/>
      <c r="J27" s="286"/>
      <c r="K27" s="286"/>
    </row>
    <row r="28" spans="2:11" ht="20.25" customHeight="1" x14ac:dyDescent="0.25">
      <c r="B28" s="286" t="s">
        <v>153</v>
      </c>
      <c r="C28" s="286"/>
      <c r="D28" s="286"/>
      <c r="E28" s="286"/>
      <c r="F28" s="286"/>
      <c r="G28" s="286"/>
      <c r="H28" s="286"/>
      <c r="I28" s="286"/>
      <c r="J28" s="286"/>
      <c r="K28" s="286"/>
    </row>
  </sheetData>
  <mergeCells count="48">
    <mergeCell ref="B28:K28"/>
    <mergeCell ref="B26:K26"/>
    <mergeCell ref="H7:H8"/>
    <mergeCell ref="H9:H17"/>
    <mergeCell ref="B1:K1"/>
    <mergeCell ref="B27:K27"/>
    <mergeCell ref="C22:D22"/>
    <mergeCell ref="E22:F22"/>
    <mergeCell ref="B23:I23"/>
    <mergeCell ref="C24:D24"/>
    <mergeCell ref="E24:F24"/>
    <mergeCell ref="C25:D25"/>
    <mergeCell ref="E25:F25"/>
    <mergeCell ref="B18:I18"/>
    <mergeCell ref="C19:D19"/>
    <mergeCell ref="E19:F19"/>
    <mergeCell ref="B20:I20"/>
    <mergeCell ref="C21:D21"/>
    <mergeCell ref="E21:F21"/>
    <mergeCell ref="C15:D15"/>
    <mergeCell ref="E15:F15"/>
    <mergeCell ref="C16:D16"/>
    <mergeCell ref="E16:F16"/>
    <mergeCell ref="C17:D17"/>
    <mergeCell ref="E17:F17"/>
    <mergeCell ref="C12:D12"/>
    <mergeCell ref="E12:F12"/>
    <mergeCell ref="C13:D13"/>
    <mergeCell ref="E13:F13"/>
    <mergeCell ref="C14:D14"/>
    <mergeCell ref="E14:F14"/>
    <mergeCell ref="C9:D9"/>
    <mergeCell ref="E9:F9"/>
    <mergeCell ref="C10:D10"/>
    <mergeCell ref="E10:F10"/>
    <mergeCell ref="C11:D11"/>
    <mergeCell ref="E11:F11"/>
    <mergeCell ref="C6:D6"/>
    <mergeCell ref="E6:F6"/>
    <mergeCell ref="C7:D7"/>
    <mergeCell ref="E7:F7"/>
    <mergeCell ref="C8:D8"/>
    <mergeCell ref="E8:F8"/>
    <mergeCell ref="C3:D3"/>
    <mergeCell ref="E3:F3"/>
    <mergeCell ref="B4:I4"/>
    <mergeCell ref="C5:D5"/>
    <mergeCell ref="E5:F5"/>
  </mergeCells>
  <pageMargins left="0.51181102362204722" right="0.31496062992125984" top="0.35433070866141736" bottom="0.35433070866141736" header="0.31496062992125984" footer="0.31496062992125984"/>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opLeftCell="A10" zoomScale="88" zoomScaleNormal="88" workbookViewId="0">
      <selection activeCell="A30" sqref="A30:G30"/>
    </sheetView>
  </sheetViews>
  <sheetFormatPr defaultRowHeight="15" x14ac:dyDescent="0.25"/>
  <cols>
    <col min="1" max="1" width="10.42578125" style="1" customWidth="1"/>
    <col min="2" max="2" width="14.42578125" style="1" customWidth="1"/>
    <col min="3" max="3" width="9.140625" style="1"/>
    <col min="4" max="4" width="16.7109375" style="1" customWidth="1"/>
    <col min="5" max="5" width="12.7109375" style="1" customWidth="1"/>
    <col min="6" max="6" width="31.85546875" style="1" customWidth="1"/>
    <col min="7" max="7" width="12.140625" style="1" customWidth="1"/>
    <col min="8" max="8" width="11.140625" style="1" customWidth="1"/>
    <col min="9" max="9" width="0" style="1" hidden="1" customWidth="1"/>
    <col min="10" max="10" width="13" style="1" hidden="1" customWidth="1"/>
    <col min="11" max="11" width="12.85546875" style="1" customWidth="1"/>
    <col min="12" max="12" width="11.7109375" style="1" customWidth="1"/>
    <col min="13" max="13" width="13.140625" style="1" customWidth="1"/>
    <col min="14" max="14" width="13" style="1" customWidth="1"/>
    <col min="15" max="15" width="31" style="1" customWidth="1"/>
    <col min="16" max="16384" width="9.140625" style="1"/>
  </cols>
  <sheetData>
    <row r="1" spans="1:15" ht="20.25" customHeight="1" x14ac:dyDescent="0.25">
      <c r="A1" s="287"/>
      <c r="B1" s="287"/>
      <c r="C1" s="287"/>
      <c r="D1" s="287"/>
      <c r="E1" s="287"/>
      <c r="F1" s="287"/>
      <c r="G1" s="287"/>
      <c r="H1" s="287"/>
      <c r="I1" s="287"/>
      <c r="J1" s="287"/>
      <c r="K1" s="287"/>
      <c r="L1" s="287"/>
      <c r="M1" s="287"/>
      <c r="N1" s="287"/>
      <c r="O1" s="287"/>
    </row>
    <row r="3" spans="1:15" ht="44.25" customHeight="1" x14ac:dyDescent="0.25">
      <c r="A3" s="288" t="s">
        <v>1</v>
      </c>
      <c r="B3" s="288"/>
      <c r="C3" s="288" t="s">
        <v>2</v>
      </c>
      <c r="D3" s="288"/>
      <c r="E3" s="99" t="s">
        <v>52</v>
      </c>
      <c r="F3" s="99" t="s">
        <v>28</v>
      </c>
      <c r="G3" s="99" t="s">
        <v>137</v>
      </c>
      <c r="H3" s="68" t="s">
        <v>108</v>
      </c>
      <c r="I3" s="68" t="s">
        <v>109</v>
      </c>
      <c r="J3" s="68" t="s">
        <v>110</v>
      </c>
      <c r="K3" s="68" t="s">
        <v>111</v>
      </c>
      <c r="L3" s="68" t="s">
        <v>154</v>
      </c>
      <c r="M3" s="68" t="s">
        <v>113</v>
      </c>
      <c r="N3" s="68" t="s">
        <v>156</v>
      </c>
      <c r="O3" s="68" t="s">
        <v>157</v>
      </c>
    </row>
    <row r="4" spans="1:15" s="96" customFormat="1" ht="18.75" customHeight="1" x14ac:dyDescent="0.25">
      <c r="A4" s="289"/>
      <c r="B4" s="289"/>
      <c r="C4" s="289"/>
      <c r="D4" s="289"/>
      <c r="E4" s="289"/>
      <c r="F4" s="289"/>
      <c r="G4" s="52">
        <f t="shared" ref="G4:M4" si="0">SUM(G5:G19)</f>
        <v>14998000</v>
      </c>
      <c r="H4" s="52">
        <f t="shared" si="0"/>
        <v>14998000</v>
      </c>
      <c r="I4" s="103">
        <f t="shared" si="0"/>
        <v>0</v>
      </c>
      <c r="J4" s="104">
        <f t="shared" si="0"/>
        <v>12770000</v>
      </c>
      <c r="K4" s="104">
        <f t="shared" si="0"/>
        <v>19468000</v>
      </c>
      <c r="L4" s="104">
        <f t="shared" si="0"/>
        <v>5297972.3599999994</v>
      </c>
      <c r="M4" s="104">
        <f t="shared" si="0"/>
        <v>14170027.640000001</v>
      </c>
      <c r="N4" s="104">
        <v>15868000</v>
      </c>
      <c r="O4" s="104"/>
    </row>
    <row r="5" spans="1:15" s="4" customFormat="1" ht="30.75" customHeight="1" x14ac:dyDescent="0.25">
      <c r="A5" s="279" t="s">
        <v>3</v>
      </c>
      <c r="B5" s="279"/>
      <c r="C5" s="280" t="s">
        <v>12</v>
      </c>
      <c r="D5" s="280"/>
      <c r="E5" s="5">
        <v>200000</v>
      </c>
      <c r="F5" s="100" t="s">
        <v>29</v>
      </c>
      <c r="G5" s="3">
        <v>200000</v>
      </c>
      <c r="H5" s="3">
        <v>200000</v>
      </c>
      <c r="I5" s="69"/>
      <c r="J5" s="71"/>
      <c r="K5" s="71">
        <f t="shared" ref="K5:K26" si="1">G5-I5+J5</f>
        <v>200000</v>
      </c>
      <c r="L5" s="94">
        <v>42332.5</v>
      </c>
      <c r="M5" s="71">
        <f t="shared" ref="M5:M26" si="2">K5-L5</f>
        <v>157667.5</v>
      </c>
      <c r="N5" s="71"/>
      <c r="O5" s="71"/>
    </row>
    <row r="6" spans="1:15" s="4" customFormat="1" ht="30.75" customHeight="1" x14ac:dyDescent="0.25">
      <c r="A6" s="279" t="s">
        <v>5</v>
      </c>
      <c r="B6" s="279"/>
      <c r="C6" s="280" t="s">
        <v>6</v>
      </c>
      <c r="D6" s="280"/>
      <c r="E6" s="5">
        <v>10000000</v>
      </c>
      <c r="F6" s="100" t="s">
        <v>30</v>
      </c>
      <c r="G6" s="3">
        <v>1000000</v>
      </c>
      <c r="H6" s="3">
        <v>1000000</v>
      </c>
      <c r="I6" s="69"/>
      <c r="J6" s="71"/>
      <c r="K6" s="71">
        <f t="shared" si="1"/>
        <v>1000000</v>
      </c>
      <c r="L6" s="94"/>
      <c r="M6" s="71">
        <f t="shared" si="2"/>
        <v>1000000</v>
      </c>
      <c r="N6" s="71"/>
      <c r="O6" s="71"/>
    </row>
    <row r="7" spans="1:15" s="4" customFormat="1" ht="30.75" customHeight="1" x14ac:dyDescent="0.25">
      <c r="A7" s="279" t="s">
        <v>8</v>
      </c>
      <c r="B7" s="279"/>
      <c r="C7" s="280" t="s">
        <v>138</v>
      </c>
      <c r="D7" s="280"/>
      <c r="E7" s="5">
        <v>30000000</v>
      </c>
      <c r="F7" s="100" t="s">
        <v>31</v>
      </c>
      <c r="G7" s="3">
        <v>9298000</v>
      </c>
      <c r="H7" s="3">
        <v>9298000</v>
      </c>
      <c r="I7" s="69"/>
      <c r="J7" s="71"/>
      <c r="K7" s="71">
        <f t="shared" si="1"/>
        <v>9298000</v>
      </c>
      <c r="L7" s="94">
        <v>2529986.61</v>
      </c>
      <c r="M7" s="71">
        <f t="shared" si="2"/>
        <v>6768013.3900000006</v>
      </c>
      <c r="N7" s="71"/>
      <c r="O7" s="71"/>
    </row>
    <row r="8" spans="1:15" s="4" customFormat="1" ht="30.75" customHeight="1" x14ac:dyDescent="0.25">
      <c r="A8" s="279" t="s">
        <v>8</v>
      </c>
      <c r="B8" s="279"/>
      <c r="C8" s="280" t="s">
        <v>138</v>
      </c>
      <c r="D8" s="280"/>
      <c r="E8" s="5">
        <v>30000000</v>
      </c>
      <c r="F8" s="100" t="s">
        <v>155</v>
      </c>
      <c r="G8" s="3">
        <v>500000</v>
      </c>
      <c r="H8" s="3">
        <v>500000</v>
      </c>
      <c r="I8" s="69"/>
      <c r="J8" s="71"/>
      <c r="K8" s="71">
        <f t="shared" si="1"/>
        <v>500000</v>
      </c>
      <c r="L8" s="94">
        <v>12390</v>
      </c>
      <c r="M8" s="71">
        <f t="shared" si="2"/>
        <v>487610</v>
      </c>
      <c r="N8" s="71"/>
      <c r="O8" s="71"/>
    </row>
    <row r="9" spans="1:15" s="4" customFormat="1" ht="30.75" customHeight="1" x14ac:dyDescent="0.25">
      <c r="A9" s="279" t="s">
        <v>11</v>
      </c>
      <c r="B9" s="279"/>
      <c r="C9" s="280" t="s">
        <v>13</v>
      </c>
      <c r="D9" s="280"/>
      <c r="E9" s="3">
        <v>100000</v>
      </c>
      <c r="F9" s="100" t="s">
        <v>32</v>
      </c>
      <c r="G9" s="3">
        <v>200000</v>
      </c>
      <c r="H9" s="307">
        <v>4000000</v>
      </c>
      <c r="I9" s="69"/>
      <c r="J9" s="71"/>
      <c r="K9" s="71">
        <f t="shared" si="1"/>
        <v>200000</v>
      </c>
      <c r="L9" s="94">
        <v>8498.2800000000007</v>
      </c>
      <c r="M9" s="71">
        <f t="shared" si="2"/>
        <v>191501.72</v>
      </c>
      <c r="N9" s="71"/>
      <c r="O9" s="71"/>
    </row>
    <row r="10" spans="1:15" s="4" customFormat="1" ht="30.75" customHeight="1" x14ac:dyDescent="0.25">
      <c r="A10" s="279" t="s">
        <v>11</v>
      </c>
      <c r="B10" s="279"/>
      <c r="C10" s="280" t="s">
        <v>35</v>
      </c>
      <c r="D10" s="280"/>
      <c r="E10" s="3">
        <v>100000</v>
      </c>
      <c r="F10" s="100" t="s">
        <v>36</v>
      </c>
      <c r="G10" s="3">
        <v>100000</v>
      </c>
      <c r="H10" s="308"/>
      <c r="I10" s="69"/>
      <c r="J10" s="71"/>
      <c r="K10" s="71">
        <f t="shared" si="1"/>
        <v>100000</v>
      </c>
      <c r="L10" s="94">
        <v>17687.439999999999</v>
      </c>
      <c r="M10" s="71">
        <f t="shared" si="2"/>
        <v>82312.56</v>
      </c>
      <c r="N10" s="71"/>
      <c r="O10" s="71"/>
    </row>
    <row r="11" spans="1:15" s="4" customFormat="1" ht="30.75" customHeight="1" x14ac:dyDescent="0.25">
      <c r="A11" s="279" t="s">
        <v>11</v>
      </c>
      <c r="B11" s="279"/>
      <c r="C11" s="280" t="s">
        <v>14</v>
      </c>
      <c r="D11" s="280"/>
      <c r="E11" s="3">
        <v>450000</v>
      </c>
      <c r="F11" s="100" t="s">
        <v>33</v>
      </c>
      <c r="G11" s="3">
        <v>450000</v>
      </c>
      <c r="H11" s="308"/>
      <c r="I11" s="69"/>
      <c r="J11" s="71"/>
      <c r="K11" s="71">
        <f t="shared" si="1"/>
        <v>450000</v>
      </c>
      <c r="L11" s="94">
        <v>227765.96</v>
      </c>
      <c r="M11" s="71">
        <f t="shared" si="2"/>
        <v>222234.04</v>
      </c>
      <c r="N11" s="71"/>
      <c r="O11" s="71"/>
    </row>
    <row r="12" spans="1:15" s="4" customFormat="1" ht="30.75" customHeight="1" x14ac:dyDescent="0.25">
      <c r="A12" s="279" t="s">
        <v>11</v>
      </c>
      <c r="B12" s="279"/>
      <c r="C12" s="280" t="s">
        <v>15</v>
      </c>
      <c r="D12" s="280"/>
      <c r="E12" s="3">
        <v>50000</v>
      </c>
      <c r="F12" s="100" t="s">
        <v>37</v>
      </c>
      <c r="G12" s="3">
        <v>50000</v>
      </c>
      <c r="H12" s="308"/>
      <c r="I12" s="69"/>
      <c r="J12" s="71"/>
      <c r="K12" s="71">
        <f t="shared" si="1"/>
        <v>50000</v>
      </c>
      <c r="L12" s="94">
        <v>13597</v>
      </c>
      <c r="M12" s="71">
        <f t="shared" si="2"/>
        <v>36403</v>
      </c>
      <c r="N12" s="71"/>
      <c r="O12" s="71"/>
    </row>
    <row r="13" spans="1:15" s="4" customFormat="1" ht="30.75" customHeight="1" x14ac:dyDescent="0.25">
      <c r="A13" s="279" t="s">
        <v>11</v>
      </c>
      <c r="B13" s="279"/>
      <c r="C13" s="280" t="s">
        <v>16</v>
      </c>
      <c r="D13" s="280"/>
      <c r="E13" s="3">
        <v>838000</v>
      </c>
      <c r="F13" s="100" t="s">
        <v>34</v>
      </c>
      <c r="G13" s="3">
        <v>838000</v>
      </c>
      <c r="H13" s="308"/>
      <c r="I13" s="69"/>
      <c r="J13" s="71">
        <v>320000</v>
      </c>
      <c r="K13" s="71">
        <f t="shared" si="1"/>
        <v>1158000</v>
      </c>
      <c r="L13" s="94"/>
      <c r="M13" s="71">
        <f t="shared" si="2"/>
        <v>1158000</v>
      </c>
      <c r="N13" s="71"/>
      <c r="O13" s="71"/>
    </row>
    <row r="14" spans="1:15" s="4" customFormat="1" ht="30.75" customHeight="1" x14ac:dyDescent="0.25">
      <c r="A14" s="279" t="s">
        <v>11</v>
      </c>
      <c r="B14" s="279"/>
      <c r="C14" s="280" t="s">
        <v>142</v>
      </c>
      <c r="D14" s="280"/>
      <c r="E14" s="3">
        <v>152000</v>
      </c>
      <c r="F14" s="100" t="s">
        <v>38</v>
      </c>
      <c r="G14" s="3">
        <v>62000</v>
      </c>
      <c r="H14" s="308"/>
      <c r="I14" s="69"/>
      <c r="J14" s="71"/>
      <c r="K14" s="71">
        <f t="shared" si="1"/>
        <v>62000</v>
      </c>
      <c r="L14" s="94"/>
      <c r="M14" s="71">
        <f t="shared" si="2"/>
        <v>62000</v>
      </c>
      <c r="N14" s="71"/>
      <c r="O14" s="71"/>
    </row>
    <row r="15" spans="1:15" s="4" customFormat="1" ht="30.75" customHeight="1" x14ac:dyDescent="0.25">
      <c r="A15" s="279" t="s">
        <v>11</v>
      </c>
      <c r="B15" s="279"/>
      <c r="C15" s="280" t="s">
        <v>18</v>
      </c>
      <c r="D15" s="280"/>
      <c r="E15" s="3">
        <v>100000</v>
      </c>
      <c r="F15" s="100" t="s">
        <v>40</v>
      </c>
      <c r="G15" s="3">
        <v>100000</v>
      </c>
      <c r="H15" s="308"/>
      <c r="I15" s="69"/>
      <c r="J15" s="71"/>
      <c r="K15" s="71">
        <f t="shared" si="1"/>
        <v>100000</v>
      </c>
      <c r="L15" s="94"/>
      <c r="M15" s="71">
        <f t="shared" si="2"/>
        <v>100000</v>
      </c>
      <c r="N15" s="71"/>
      <c r="O15" s="71"/>
    </row>
    <row r="16" spans="1:15" s="4" customFormat="1" ht="30.75" customHeight="1" x14ac:dyDescent="0.25">
      <c r="A16" s="279" t="s">
        <v>11</v>
      </c>
      <c r="B16" s="279"/>
      <c r="C16" s="280" t="s">
        <v>19</v>
      </c>
      <c r="D16" s="280"/>
      <c r="E16" s="3">
        <v>200000</v>
      </c>
      <c r="F16" s="100" t="s">
        <v>41</v>
      </c>
      <c r="G16" s="3">
        <v>200000</v>
      </c>
      <c r="H16" s="308"/>
      <c r="I16" s="69"/>
      <c r="J16" s="71"/>
      <c r="K16" s="71">
        <f t="shared" si="1"/>
        <v>200000</v>
      </c>
      <c r="L16" s="94">
        <v>220247.26</v>
      </c>
      <c r="M16" s="71">
        <f t="shared" si="2"/>
        <v>-20247.260000000009</v>
      </c>
      <c r="N16" s="71"/>
      <c r="O16" s="71"/>
    </row>
    <row r="17" spans="1:15" ht="30.75" customHeight="1" x14ac:dyDescent="0.25">
      <c r="A17" s="279" t="s">
        <v>11</v>
      </c>
      <c r="B17" s="279"/>
      <c r="C17" s="280" t="s">
        <v>20</v>
      </c>
      <c r="D17" s="280"/>
      <c r="E17" s="3">
        <v>1103000</v>
      </c>
      <c r="F17" s="106" t="s">
        <v>42</v>
      </c>
      <c r="G17" s="3">
        <v>2000000</v>
      </c>
      <c r="H17" s="308"/>
      <c r="I17" s="70"/>
      <c r="J17" s="71">
        <v>4150000</v>
      </c>
      <c r="K17" s="71">
        <f t="shared" si="1"/>
        <v>6150000</v>
      </c>
      <c r="L17" s="94">
        <v>2225467.31</v>
      </c>
      <c r="M17" s="71">
        <f t="shared" si="2"/>
        <v>3924532.69</v>
      </c>
      <c r="N17" s="71"/>
      <c r="O17" s="71"/>
    </row>
    <row r="18" spans="1:15" ht="30.75" customHeight="1" x14ac:dyDescent="0.25">
      <c r="A18" s="279"/>
      <c r="B18" s="279"/>
      <c r="C18" s="280"/>
      <c r="D18" s="280"/>
      <c r="E18" s="3"/>
      <c r="F18" s="106"/>
      <c r="G18" s="3"/>
      <c r="H18" s="308"/>
      <c r="I18" s="70"/>
      <c r="J18" s="71">
        <v>4150000</v>
      </c>
      <c r="K18" s="71"/>
      <c r="L18" s="94"/>
      <c r="M18" s="71">
        <f t="shared" ref="M18" si="3">K18-L18</f>
        <v>0</v>
      </c>
      <c r="N18" s="71"/>
      <c r="O18" s="71"/>
    </row>
    <row r="19" spans="1:15" ht="30.75" customHeight="1" x14ac:dyDescent="0.25">
      <c r="A19" s="279"/>
      <c r="B19" s="279"/>
      <c r="C19" s="280"/>
      <c r="D19" s="280"/>
      <c r="E19" s="3"/>
      <c r="F19" s="100"/>
      <c r="G19" s="3"/>
      <c r="H19" s="309"/>
      <c r="I19" s="70"/>
      <c r="J19" s="71">
        <v>4150000</v>
      </c>
      <c r="K19" s="71"/>
      <c r="L19" s="94"/>
      <c r="M19" s="71">
        <f t="shared" si="2"/>
        <v>0</v>
      </c>
      <c r="N19" s="71"/>
      <c r="O19" s="71"/>
    </row>
    <row r="20" spans="1:15" s="96" customFormat="1" ht="23.25" customHeight="1" x14ac:dyDescent="0.25">
      <c r="A20" s="285"/>
      <c r="B20" s="285"/>
      <c r="C20" s="285"/>
      <c r="D20" s="285"/>
      <c r="E20" s="285"/>
      <c r="F20" s="285"/>
      <c r="G20" s="53">
        <f>G21</f>
        <v>2200000</v>
      </c>
      <c r="H20" s="53">
        <f>H21</f>
        <v>2200000</v>
      </c>
      <c r="I20" s="105">
        <f>I21</f>
        <v>0</v>
      </c>
      <c r="J20" s="104">
        <f t="shared" ref="J20" si="4">J21</f>
        <v>0</v>
      </c>
      <c r="K20" s="104">
        <f t="shared" si="1"/>
        <v>2200000</v>
      </c>
      <c r="L20" s="104">
        <f>L21</f>
        <v>213293.06</v>
      </c>
      <c r="M20" s="104">
        <f t="shared" si="2"/>
        <v>1986706.94</v>
      </c>
      <c r="N20" s="104">
        <v>2328000</v>
      </c>
      <c r="O20" s="104"/>
    </row>
    <row r="21" spans="1:15" ht="47.25" customHeight="1" x14ac:dyDescent="0.25">
      <c r="A21" s="279" t="s">
        <v>10</v>
      </c>
      <c r="B21" s="279"/>
      <c r="C21" s="280" t="s">
        <v>141</v>
      </c>
      <c r="D21" s="280"/>
      <c r="E21" s="5">
        <v>8500000</v>
      </c>
      <c r="F21" s="100" t="s">
        <v>43</v>
      </c>
      <c r="G21" s="3">
        <v>2200000</v>
      </c>
      <c r="H21" s="3">
        <v>2200000</v>
      </c>
      <c r="I21" s="70"/>
      <c r="J21" s="71"/>
      <c r="K21" s="71">
        <f t="shared" si="1"/>
        <v>2200000</v>
      </c>
      <c r="L21" s="94">
        <v>213293.06</v>
      </c>
      <c r="M21" s="71">
        <f t="shared" si="2"/>
        <v>1986706.94</v>
      </c>
      <c r="N21" s="71"/>
      <c r="O21" s="71"/>
    </row>
    <row r="22" spans="1:15" s="96" customFormat="1" ht="22.5" customHeight="1" x14ac:dyDescent="0.25">
      <c r="A22" s="285"/>
      <c r="B22" s="285"/>
      <c r="C22" s="285"/>
      <c r="D22" s="285"/>
      <c r="E22" s="285"/>
      <c r="F22" s="285"/>
      <c r="G22" s="53">
        <f>SUM(G23:G24)</f>
        <v>1500000</v>
      </c>
      <c r="H22" s="53">
        <f>SUM(H23:H24)</f>
        <v>1500000</v>
      </c>
      <c r="I22" s="105">
        <f>I23+I24</f>
        <v>0</v>
      </c>
      <c r="J22" s="104">
        <f t="shared" ref="J22" si="5">J23+J24</f>
        <v>0</v>
      </c>
      <c r="K22" s="104">
        <f t="shared" si="1"/>
        <v>1500000</v>
      </c>
      <c r="L22" s="104">
        <f>L23+L24</f>
        <v>0</v>
      </c>
      <c r="M22" s="104">
        <f t="shared" si="2"/>
        <v>1500000</v>
      </c>
      <c r="N22" s="104">
        <v>1587000</v>
      </c>
      <c r="O22" s="104"/>
    </row>
    <row r="23" spans="1:15" ht="30.75" customHeight="1" x14ac:dyDescent="0.25">
      <c r="A23" s="279" t="s">
        <v>58</v>
      </c>
      <c r="B23" s="279"/>
      <c r="C23" s="280" t="s">
        <v>150</v>
      </c>
      <c r="D23" s="280"/>
      <c r="E23" s="5">
        <v>5250000</v>
      </c>
      <c r="F23" s="100" t="s">
        <v>44</v>
      </c>
      <c r="G23" s="3">
        <v>1490000</v>
      </c>
      <c r="H23" s="3">
        <v>1490000</v>
      </c>
      <c r="I23" s="70"/>
      <c r="J23" s="71"/>
      <c r="K23" s="71">
        <f t="shared" si="1"/>
        <v>1490000</v>
      </c>
      <c r="L23" s="71"/>
      <c r="M23" s="71">
        <f t="shared" si="2"/>
        <v>1490000</v>
      </c>
      <c r="N23" s="71"/>
      <c r="O23" s="71"/>
    </row>
    <row r="24" spans="1:15" ht="30.75" customHeight="1" x14ac:dyDescent="0.25">
      <c r="A24" s="279" t="s">
        <v>149</v>
      </c>
      <c r="B24" s="279"/>
      <c r="C24" s="280" t="s">
        <v>60</v>
      </c>
      <c r="D24" s="280"/>
      <c r="E24" s="5">
        <v>10000</v>
      </c>
      <c r="F24" s="100" t="s">
        <v>45</v>
      </c>
      <c r="G24" s="3">
        <v>10000</v>
      </c>
      <c r="H24" s="3">
        <v>10000</v>
      </c>
      <c r="I24" s="70"/>
      <c r="J24" s="71"/>
      <c r="K24" s="71">
        <f t="shared" si="1"/>
        <v>10000</v>
      </c>
      <c r="L24" s="71"/>
      <c r="M24" s="71">
        <f t="shared" si="2"/>
        <v>10000</v>
      </c>
      <c r="N24" s="71"/>
      <c r="O24" s="71"/>
    </row>
    <row r="25" spans="1:15" ht="30.75" customHeight="1" x14ac:dyDescent="0.25">
      <c r="A25" s="282"/>
      <c r="B25" s="282"/>
      <c r="C25" s="282"/>
      <c r="D25" s="282"/>
      <c r="E25" s="282"/>
      <c r="F25" s="282"/>
      <c r="G25" s="64">
        <f>G26</f>
        <v>2000</v>
      </c>
      <c r="H25" s="64">
        <f>H26</f>
        <v>2000</v>
      </c>
      <c r="I25" s="75">
        <f>I26</f>
        <v>0</v>
      </c>
      <c r="J25" s="76">
        <f t="shared" ref="J25" si="6">J26</f>
        <v>4853000</v>
      </c>
      <c r="K25" s="76">
        <f t="shared" si="1"/>
        <v>4855000</v>
      </c>
      <c r="L25" s="76">
        <f>L26</f>
        <v>1104076.3999999999</v>
      </c>
      <c r="M25" s="76">
        <f t="shared" si="2"/>
        <v>3750923.6</v>
      </c>
      <c r="N25" s="76">
        <f>N26</f>
        <v>0</v>
      </c>
      <c r="O25" s="76"/>
    </row>
    <row r="26" spans="1:15" ht="30.75" customHeight="1" x14ac:dyDescent="0.25">
      <c r="A26" s="283"/>
      <c r="B26" s="283"/>
      <c r="C26" s="284" t="s">
        <v>21</v>
      </c>
      <c r="D26" s="284"/>
      <c r="E26" s="62"/>
      <c r="F26" s="101" t="s">
        <v>132</v>
      </c>
      <c r="G26" s="63">
        <v>2000</v>
      </c>
      <c r="H26" s="63">
        <v>2000</v>
      </c>
      <c r="I26" s="70"/>
      <c r="J26" s="71">
        <v>4853000</v>
      </c>
      <c r="K26" s="71">
        <f t="shared" si="1"/>
        <v>4855000</v>
      </c>
      <c r="L26" s="94">
        <v>1104076.3999999999</v>
      </c>
      <c r="M26" s="71">
        <f t="shared" si="2"/>
        <v>3750923.6</v>
      </c>
      <c r="N26" s="71"/>
      <c r="O26" s="71"/>
    </row>
    <row r="27" spans="1:15" ht="25.5" customHeight="1" x14ac:dyDescent="0.25">
      <c r="A27" s="278"/>
      <c r="B27" s="278"/>
      <c r="C27" s="278"/>
      <c r="D27" s="278"/>
      <c r="E27" s="66"/>
      <c r="F27" s="102" t="s">
        <v>46</v>
      </c>
      <c r="G27" s="55">
        <f t="shared" ref="G27:N27" si="7">G22+G20+G4+G25</f>
        <v>18700000</v>
      </c>
      <c r="H27" s="55">
        <f t="shared" si="7"/>
        <v>18700000</v>
      </c>
      <c r="I27" s="55">
        <f t="shared" si="7"/>
        <v>0</v>
      </c>
      <c r="J27" s="55">
        <f t="shared" si="7"/>
        <v>17623000</v>
      </c>
      <c r="K27" s="55">
        <f t="shared" si="7"/>
        <v>28023000</v>
      </c>
      <c r="L27" s="55">
        <f t="shared" si="7"/>
        <v>6615341.8199999984</v>
      </c>
      <c r="M27" s="55">
        <f t="shared" si="7"/>
        <v>21407658.180000003</v>
      </c>
      <c r="N27" s="55">
        <f t="shared" si="7"/>
        <v>19783000</v>
      </c>
      <c r="O27" s="55"/>
    </row>
    <row r="28" spans="1:15" x14ac:dyDescent="0.25">
      <c r="A28" s="286"/>
      <c r="B28" s="286"/>
      <c r="C28" s="286"/>
      <c r="D28" s="286"/>
      <c r="E28" s="286"/>
      <c r="F28" s="286"/>
      <c r="G28" s="286"/>
    </row>
    <row r="29" spans="1:15" x14ac:dyDescent="0.25">
      <c r="A29" s="286"/>
      <c r="B29" s="286"/>
      <c r="C29" s="286"/>
      <c r="D29" s="286"/>
      <c r="E29" s="286"/>
      <c r="F29" s="286"/>
      <c r="G29" s="286"/>
    </row>
    <row r="30" spans="1:15" x14ac:dyDescent="0.25">
      <c r="A30" s="286"/>
      <c r="B30" s="286"/>
      <c r="C30" s="286"/>
      <c r="D30" s="286"/>
      <c r="E30" s="286"/>
      <c r="F30" s="286"/>
      <c r="G30" s="286"/>
    </row>
    <row r="31" spans="1:15" x14ac:dyDescent="0.25">
      <c r="E31" s="97"/>
    </row>
  </sheetData>
  <mergeCells count="51">
    <mergeCell ref="A28:G28"/>
    <mergeCell ref="A29:G29"/>
    <mergeCell ref="A30:G30"/>
    <mergeCell ref="A24:B24"/>
    <mergeCell ref="C24:D24"/>
    <mergeCell ref="A25:F25"/>
    <mergeCell ref="A26:B26"/>
    <mergeCell ref="C26:D26"/>
    <mergeCell ref="A27:B27"/>
    <mergeCell ref="C27:D27"/>
    <mergeCell ref="A21:B21"/>
    <mergeCell ref="C21:D21"/>
    <mergeCell ref="A22:F22"/>
    <mergeCell ref="A23:B23"/>
    <mergeCell ref="C23:D23"/>
    <mergeCell ref="A16:B16"/>
    <mergeCell ref="C16:D16"/>
    <mergeCell ref="A19:B19"/>
    <mergeCell ref="C19:D19"/>
    <mergeCell ref="A20:F20"/>
    <mergeCell ref="A18:B18"/>
    <mergeCell ref="C18:D18"/>
    <mergeCell ref="A17:B17"/>
    <mergeCell ref="C17:D17"/>
    <mergeCell ref="A13:B13"/>
    <mergeCell ref="C13:D13"/>
    <mergeCell ref="A14:B14"/>
    <mergeCell ref="C14:D14"/>
    <mergeCell ref="A15:B15"/>
    <mergeCell ref="C15:D15"/>
    <mergeCell ref="C10:D10"/>
    <mergeCell ref="A11:B11"/>
    <mergeCell ref="C11:D11"/>
    <mergeCell ref="A12:B12"/>
    <mergeCell ref="C12:D12"/>
    <mergeCell ref="H9:H19"/>
    <mergeCell ref="A1:O1"/>
    <mergeCell ref="A3:B3"/>
    <mergeCell ref="C3:D3"/>
    <mergeCell ref="A4:F4"/>
    <mergeCell ref="A5:B5"/>
    <mergeCell ref="C5:D5"/>
    <mergeCell ref="A6:B6"/>
    <mergeCell ref="C6:D6"/>
    <mergeCell ref="A7:B7"/>
    <mergeCell ref="C7:D7"/>
    <mergeCell ref="A8:B8"/>
    <mergeCell ref="C8:D8"/>
    <mergeCell ref="A9:B9"/>
    <mergeCell ref="C9:D9"/>
    <mergeCell ref="A10:B10"/>
  </mergeCells>
  <pageMargins left="0.51181102362204722" right="0.31496062992125984" top="0.35433070866141736" bottom="0.35433070866141736"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68" zoomScaleNormal="68" workbookViewId="0">
      <selection activeCell="X15" sqref="X15"/>
    </sheetView>
  </sheetViews>
  <sheetFormatPr defaultRowHeight="15" x14ac:dyDescent="0.25"/>
  <cols>
    <col min="1" max="1" width="15.140625" style="1" customWidth="1"/>
    <col min="2" max="2" width="9.140625" style="1"/>
    <col min="3" max="3" width="16.7109375" style="1" customWidth="1"/>
    <col min="4" max="4" width="9.140625" style="1"/>
    <col min="5" max="5" width="16.7109375" style="1" customWidth="1"/>
    <col min="6" max="7" width="14" style="1" customWidth="1"/>
    <col min="8" max="8" width="34.7109375" style="1" hidden="1" customWidth="1"/>
    <col min="9" max="9" width="14.7109375" style="1" hidden="1" customWidth="1"/>
    <col min="10" max="10" width="28.42578125" style="6" hidden="1" customWidth="1"/>
    <col min="11" max="11" width="11.85546875" style="1" bestFit="1" customWidth="1"/>
    <col min="12" max="12" width="10.5703125" style="1" hidden="1" customWidth="1"/>
    <col min="13" max="13" width="13" style="1" hidden="1" customWidth="1"/>
    <col min="14" max="14" width="13" style="1" customWidth="1"/>
    <col min="15" max="15" width="13.7109375" style="1" customWidth="1"/>
    <col min="16" max="16" width="13.140625" style="1" customWidth="1"/>
    <col min="17" max="16384" width="9.140625" style="1"/>
  </cols>
  <sheetData>
    <row r="1" spans="1:17" ht="15" customHeight="1" x14ac:dyDescent="0.25">
      <c r="A1" s="287" t="s">
        <v>134</v>
      </c>
      <c r="B1" s="287"/>
      <c r="C1" s="287"/>
      <c r="D1" s="287"/>
      <c r="E1" s="287"/>
      <c r="F1" s="287"/>
      <c r="G1" s="287"/>
      <c r="H1" s="287"/>
      <c r="I1" s="287"/>
      <c r="J1" s="287"/>
      <c r="K1" s="287"/>
      <c r="L1" s="287"/>
      <c r="M1" s="287"/>
      <c r="N1" s="287"/>
      <c r="O1" s="287"/>
      <c r="P1" s="287"/>
      <c r="Q1" s="287"/>
    </row>
    <row r="2" spans="1:17" ht="36.75" customHeight="1" x14ac:dyDescent="0.25">
      <c r="A2" s="120" t="s">
        <v>0</v>
      </c>
      <c r="B2" s="288" t="s">
        <v>1</v>
      </c>
      <c r="C2" s="288"/>
      <c r="D2" s="288" t="s">
        <v>2</v>
      </c>
      <c r="E2" s="288"/>
      <c r="F2" s="120" t="s">
        <v>27</v>
      </c>
      <c r="G2" s="120" t="s">
        <v>52</v>
      </c>
      <c r="H2" s="120" t="s">
        <v>28</v>
      </c>
      <c r="I2" s="120" t="s">
        <v>137</v>
      </c>
      <c r="J2" s="120" t="s">
        <v>25</v>
      </c>
      <c r="K2" s="68" t="s">
        <v>108</v>
      </c>
      <c r="L2" s="68" t="s">
        <v>109</v>
      </c>
      <c r="M2" s="68" t="s">
        <v>110</v>
      </c>
      <c r="N2" s="68" t="s">
        <v>111</v>
      </c>
      <c r="O2" s="107">
        <v>40908</v>
      </c>
      <c r="P2" s="68" t="s">
        <v>113</v>
      </c>
      <c r="Q2" s="68" t="s">
        <v>114</v>
      </c>
    </row>
    <row r="3" spans="1:17" s="96" customFormat="1" ht="18.75" customHeight="1" x14ac:dyDescent="0.25">
      <c r="A3" s="289" t="s">
        <v>22</v>
      </c>
      <c r="B3" s="289"/>
      <c r="C3" s="289"/>
      <c r="D3" s="289"/>
      <c r="E3" s="289"/>
      <c r="F3" s="289"/>
      <c r="G3" s="289"/>
      <c r="H3" s="289"/>
      <c r="I3" s="52">
        <f>SUM(I4:I16)</f>
        <v>14998000</v>
      </c>
      <c r="J3" s="58"/>
      <c r="K3" s="52">
        <f>SUM(K4:K16)</f>
        <v>14998000</v>
      </c>
      <c r="L3" s="103">
        <f>SUM(L4:L16)</f>
        <v>220000</v>
      </c>
      <c r="M3" s="104">
        <f t="shared" ref="M3:P3" si="0">SUM(M4:M16)</f>
        <v>5230000</v>
      </c>
      <c r="N3" s="104">
        <f t="shared" si="0"/>
        <v>20008000</v>
      </c>
      <c r="O3" s="104">
        <f t="shared" si="0"/>
        <v>15980850.680000003</v>
      </c>
      <c r="P3" s="104">
        <f t="shared" si="0"/>
        <v>4027149.3199999994</v>
      </c>
      <c r="Q3" s="73">
        <f>(O3*100)/N3</f>
        <v>79.872304478208733</v>
      </c>
    </row>
    <row r="4" spans="1:17" s="4" customFormat="1" ht="30.75" customHeight="1" x14ac:dyDescent="0.25">
      <c r="A4" s="116" t="s">
        <v>135</v>
      </c>
      <c r="B4" s="279" t="s">
        <v>3</v>
      </c>
      <c r="C4" s="279"/>
      <c r="D4" s="280" t="s">
        <v>12</v>
      </c>
      <c r="E4" s="280"/>
      <c r="F4" s="117" t="s">
        <v>136</v>
      </c>
      <c r="G4" s="5">
        <v>200000</v>
      </c>
      <c r="H4" s="116" t="s">
        <v>29</v>
      </c>
      <c r="I4" s="3">
        <v>200000</v>
      </c>
      <c r="J4" s="50" t="s">
        <v>62</v>
      </c>
      <c r="K4" s="3">
        <v>200000</v>
      </c>
      <c r="L4" s="69"/>
      <c r="M4" s="71">
        <v>220000</v>
      </c>
      <c r="N4" s="71">
        <f>I4-L4+M4</f>
        <v>420000</v>
      </c>
      <c r="O4" s="94">
        <v>400580.5</v>
      </c>
      <c r="P4" s="71">
        <f>N4-O4</f>
        <v>19419.5</v>
      </c>
      <c r="Q4" s="72">
        <f t="shared" ref="Q4:Q24" si="1">(O4*100)/N4</f>
        <v>95.376309523809525</v>
      </c>
    </row>
    <row r="5" spans="1:17" s="4" customFormat="1" ht="30.75" customHeight="1" x14ac:dyDescent="0.25">
      <c r="A5" s="116" t="s">
        <v>4</v>
      </c>
      <c r="B5" s="279" t="s">
        <v>5</v>
      </c>
      <c r="C5" s="279"/>
      <c r="D5" s="280" t="s">
        <v>6</v>
      </c>
      <c r="E5" s="280"/>
      <c r="F5" s="117" t="s">
        <v>54</v>
      </c>
      <c r="G5" s="5">
        <v>10000000</v>
      </c>
      <c r="H5" s="116" t="s">
        <v>30</v>
      </c>
      <c r="I5" s="3">
        <v>1000000</v>
      </c>
      <c r="J5" s="50" t="s">
        <v>62</v>
      </c>
      <c r="K5" s="3">
        <v>1000000</v>
      </c>
      <c r="L5" s="69"/>
      <c r="M5" s="71"/>
      <c r="N5" s="71">
        <f t="shared" ref="N5:N23" si="2">I5-L5+M5</f>
        <v>1000000</v>
      </c>
      <c r="O5" s="94">
        <v>647652.81000000006</v>
      </c>
      <c r="P5" s="71">
        <f t="shared" ref="P5:P23" si="3">N5-O5</f>
        <v>352347.18999999994</v>
      </c>
      <c r="Q5" s="72">
        <f t="shared" si="1"/>
        <v>64.765281000000002</v>
      </c>
    </row>
    <row r="6" spans="1:17" s="4" customFormat="1" ht="30.75" customHeight="1" x14ac:dyDescent="0.25">
      <c r="A6" s="116" t="s">
        <v>7</v>
      </c>
      <c r="B6" s="279" t="s">
        <v>8</v>
      </c>
      <c r="C6" s="279"/>
      <c r="D6" s="280" t="s">
        <v>138</v>
      </c>
      <c r="E6" s="280"/>
      <c r="F6" s="117" t="s">
        <v>54</v>
      </c>
      <c r="G6" s="5">
        <v>30000000</v>
      </c>
      <c r="H6" s="116" t="s">
        <v>31</v>
      </c>
      <c r="I6" s="3">
        <v>9298000</v>
      </c>
      <c r="J6" s="50" t="s">
        <v>62</v>
      </c>
      <c r="K6" s="3">
        <v>9298000</v>
      </c>
      <c r="L6" s="69">
        <v>220000</v>
      </c>
      <c r="M6" s="71"/>
      <c r="N6" s="71">
        <f>I6-L6+M6</f>
        <v>9078000</v>
      </c>
      <c r="O6" s="94">
        <v>6018159.9800000004</v>
      </c>
      <c r="P6" s="71">
        <f>N6-O6</f>
        <v>3059840.0199999996</v>
      </c>
      <c r="Q6" s="72">
        <f t="shared" si="1"/>
        <v>66.293897113901735</v>
      </c>
    </row>
    <row r="7" spans="1:17" s="4" customFormat="1" ht="30.75" customHeight="1" x14ac:dyDescent="0.25">
      <c r="A7" s="116" t="s">
        <v>7</v>
      </c>
      <c r="B7" s="279" t="s">
        <v>8</v>
      </c>
      <c r="C7" s="279"/>
      <c r="D7" s="280" t="s">
        <v>138</v>
      </c>
      <c r="E7" s="280"/>
      <c r="F7" s="117" t="s">
        <v>54</v>
      </c>
      <c r="G7" s="5">
        <v>30000000</v>
      </c>
      <c r="H7" s="116" t="s">
        <v>155</v>
      </c>
      <c r="I7" s="3">
        <v>500000</v>
      </c>
      <c r="J7" s="50" t="s">
        <v>63</v>
      </c>
      <c r="K7" s="3">
        <v>500000</v>
      </c>
      <c r="L7" s="69"/>
      <c r="M7" s="71"/>
      <c r="N7" s="71">
        <f t="shared" si="2"/>
        <v>500000</v>
      </c>
      <c r="O7" s="94">
        <f>350461.77+29102.75</f>
        <v>379564.52</v>
      </c>
      <c r="P7" s="71">
        <f t="shared" si="3"/>
        <v>120435.47999999998</v>
      </c>
      <c r="Q7" s="72">
        <f t="shared" si="1"/>
        <v>75.912903999999997</v>
      </c>
    </row>
    <row r="8" spans="1:17" s="4" customFormat="1" ht="30.75" customHeight="1" x14ac:dyDescent="0.25">
      <c r="A8" s="116" t="s">
        <v>139</v>
      </c>
      <c r="B8" s="279" t="s">
        <v>11</v>
      </c>
      <c r="C8" s="279"/>
      <c r="D8" s="280" t="s">
        <v>13</v>
      </c>
      <c r="E8" s="280"/>
      <c r="F8" s="117" t="s">
        <v>136</v>
      </c>
      <c r="G8" s="3">
        <v>100000</v>
      </c>
      <c r="H8" s="116" t="s">
        <v>32</v>
      </c>
      <c r="I8" s="3">
        <v>200000</v>
      </c>
      <c r="J8" s="50" t="s">
        <v>63</v>
      </c>
      <c r="K8" s="3">
        <v>200000</v>
      </c>
      <c r="L8" s="69"/>
      <c r="M8" s="71">
        <v>100000</v>
      </c>
      <c r="N8" s="71">
        <f t="shared" si="2"/>
        <v>300000</v>
      </c>
      <c r="O8" s="94">
        <v>471401.24</v>
      </c>
      <c r="P8" s="71">
        <f t="shared" si="3"/>
        <v>-171401.24</v>
      </c>
      <c r="Q8" s="72">
        <f t="shared" si="1"/>
        <v>157.13374666666667</v>
      </c>
    </row>
    <row r="9" spans="1:17" s="4" customFormat="1" ht="30.75" customHeight="1" x14ac:dyDescent="0.25">
      <c r="A9" s="116" t="s">
        <v>139</v>
      </c>
      <c r="B9" s="279" t="s">
        <v>11</v>
      </c>
      <c r="C9" s="279"/>
      <c r="D9" s="280" t="s">
        <v>35</v>
      </c>
      <c r="E9" s="280"/>
      <c r="F9" s="117" t="s">
        <v>136</v>
      </c>
      <c r="G9" s="3">
        <v>100000</v>
      </c>
      <c r="H9" s="116" t="s">
        <v>36</v>
      </c>
      <c r="I9" s="3">
        <v>100000</v>
      </c>
      <c r="J9" s="50" t="s">
        <v>63</v>
      </c>
      <c r="K9" s="3">
        <v>100000</v>
      </c>
      <c r="L9" s="69"/>
      <c r="M9" s="71"/>
      <c r="N9" s="71">
        <f t="shared" si="2"/>
        <v>100000</v>
      </c>
      <c r="O9" s="94">
        <f>98078.02+4322.34</f>
        <v>102400.36</v>
      </c>
      <c r="P9" s="71">
        <f t="shared" si="3"/>
        <v>-2400.3600000000006</v>
      </c>
      <c r="Q9" s="72">
        <f t="shared" si="1"/>
        <v>102.40036000000001</v>
      </c>
    </row>
    <row r="10" spans="1:17" s="4" customFormat="1" ht="30.75" customHeight="1" x14ac:dyDescent="0.25">
      <c r="A10" s="116" t="s">
        <v>139</v>
      </c>
      <c r="B10" s="279" t="s">
        <v>11</v>
      </c>
      <c r="C10" s="279"/>
      <c r="D10" s="280" t="s">
        <v>14</v>
      </c>
      <c r="E10" s="280"/>
      <c r="F10" s="117" t="s">
        <v>136</v>
      </c>
      <c r="G10" s="3">
        <v>450000</v>
      </c>
      <c r="H10" s="116" t="s">
        <v>33</v>
      </c>
      <c r="I10" s="3">
        <v>450000</v>
      </c>
      <c r="J10" s="50" t="s">
        <v>64</v>
      </c>
      <c r="K10" s="3">
        <v>450000</v>
      </c>
      <c r="L10" s="69"/>
      <c r="M10" s="71">
        <v>150000</v>
      </c>
      <c r="N10" s="71">
        <f t="shared" si="2"/>
        <v>600000</v>
      </c>
      <c r="O10" s="94">
        <v>631566.09</v>
      </c>
      <c r="P10" s="71">
        <f t="shared" si="3"/>
        <v>-31566.089999999967</v>
      </c>
      <c r="Q10" s="72">
        <f t="shared" si="1"/>
        <v>105.261015</v>
      </c>
    </row>
    <row r="11" spans="1:17" s="4" customFormat="1" ht="30.75" customHeight="1" x14ac:dyDescent="0.25">
      <c r="A11" s="116" t="s">
        <v>139</v>
      </c>
      <c r="B11" s="279" t="s">
        <v>11</v>
      </c>
      <c r="C11" s="279"/>
      <c r="D11" s="280" t="s">
        <v>15</v>
      </c>
      <c r="E11" s="280"/>
      <c r="F11" s="117" t="s">
        <v>136</v>
      </c>
      <c r="G11" s="3">
        <v>50000</v>
      </c>
      <c r="H11" s="116" t="s">
        <v>37</v>
      </c>
      <c r="I11" s="3">
        <v>50000</v>
      </c>
      <c r="J11" s="50" t="s">
        <v>64</v>
      </c>
      <c r="K11" s="3">
        <v>50000</v>
      </c>
      <c r="L11" s="69"/>
      <c r="M11" s="71"/>
      <c r="N11" s="71">
        <f t="shared" si="2"/>
        <v>50000</v>
      </c>
      <c r="O11" s="94">
        <v>49764</v>
      </c>
      <c r="P11" s="71">
        <f t="shared" si="3"/>
        <v>236</v>
      </c>
      <c r="Q11" s="72">
        <f t="shared" si="1"/>
        <v>99.528000000000006</v>
      </c>
    </row>
    <row r="12" spans="1:17" s="4" customFormat="1" ht="30.75" customHeight="1" x14ac:dyDescent="0.25">
      <c r="A12" s="116" t="s">
        <v>139</v>
      </c>
      <c r="B12" s="279" t="s">
        <v>11</v>
      </c>
      <c r="C12" s="279"/>
      <c r="D12" s="280" t="s">
        <v>16</v>
      </c>
      <c r="E12" s="280"/>
      <c r="F12" s="117" t="s">
        <v>136</v>
      </c>
      <c r="G12" s="3">
        <v>838000</v>
      </c>
      <c r="H12" s="116" t="s">
        <v>34</v>
      </c>
      <c r="I12" s="3">
        <v>838000</v>
      </c>
      <c r="J12" s="50" t="s">
        <v>63</v>
      </c>
      <c r="K12" s="3">
        <v>838000</v>
      </c>
      <c r="L12" s="69"/>
      <c r="M12" s="71">
        <f>320000+150000</f>
        <v>470000</v>
      </c>
      <c r="N12" s="71">
        <f t="shared" si="2"/>
        <v>1308000</v>
      </c>
      <c r="O12" s="94">
        <v>1101364.08</v>
      </c>
      <c r="P12" s="71">
        <f t="shared" si="3"/>
        <v>206635.91999999993</v>
      </c>
      <c r="Q12" s="72">
        <f t="shared" si="1"/>
        <v>84.202146788990831</v>
      </c>
    </row>
    <row r="13" spans="1:17" s="4" customFormat="1" ht="30.75" customHeight="1" x14ac:dyDescent="0.25">
      <c r="A13" s="116" t="s">
        <v>139</v>
      </c>
      <c r="B13" s="279" t="s">
        <v>11</v>
      </c>
      <c r="C13" s="279"/>
      <c r="D13" s="280" t="s">
        <v>142</v>
      </c>
      <c r="E13" s="280"/>
      <c r="F13" s="117" t="s">
        <v>136</v>
      </c>
      <c r="G13" s="3">
        <v>152000</v>
      </c>
      <c r="H13" s="116" t="s">
        <v>38</v>
      </c>
      <c r="I13" s="3">
        <v>62000</v>
      </c>
      <c r="J13" s="50" t="s">
        <v>63</v>
      </c>
      <c r="K13" s="3">
        <v>62000</v>
      </c>
      <c r="L13" s="69"/>
      <c r="M13" s="71">
        <v>140000</v>
      </c>
      <c r="N13" s="71">
        <f t="shared" si="2"/>
        <v>202000</v>
      </c>
      <c r="O13" s="94">
        <f>72804.97+191750</f>
        <v>264554.96999999997</v>
      </c>
      <c r="P13" s="71">
        <f t="shared" si="3"/>
        <v>-62554.969999999972</v>
      </c>
      <c r="Q13" s="72">
        <f t="shared" si="1"/>
        <v>130.96780693069306</v>
      </c>
    </row>
    <row r="14" spans="1:17" s="4" customFormat="1" ht="30.75" customHeight="1" x14ac:dyDescent="0.25">
      <c r="A14" s="116" t="s">
        <v>139</v>
      </c>
      <c r="B14" s="279" t="s">
        <v>11</v>
      </c>
      <c r="C14" s="279"/>
      <c r="D14" s="280" t="s">
        <v>18</v>
      </c>
      <c r="E14" s="280"/>
      <c r="F14" s="117" t="s">
        <v>136</v>
      </c>
      <c r="G14" s="3">
        <v>100000</v>
      </c>
      <c r="H14" s="116" t="s">
        <v>40</v>
      </c>
      <c r="I14" s="3">
        <v>100000</v>
      </c>
      <c r="J14" s="50" t="s">
        <v>66</v>
      </c>
      <c r="K14" s="3">
        <v>100000</v>
      </c>
      <c r="L14" s="69"/>
      <c r="M14" s="71"/>
      <c r="N14" s="71">
        <f t="shared" si="2"/>
        <v>100000</v>
      </c>
      <c r="O14" s="94">
        <v>74191.990000000005</v>
      </c>
      <c r="P14" s="71">
        <f t="shared" si="3"/>
        <v>25808.009999999995</v>
      </c>
      <c r="Q14" s="72">
        <f t="shared" si="1"/>
        <v>74.191990000000004</v>
      </c>
    </row>
    <row r="15" spans="1:17" s="4" customFormat="1" ht="30.75" customHeight="1" x14ac:dyDescent="0.25">
      <c r="A15" s="116" t="s">
        <v>139</v>
      </c>
      <c r="B15" s="279" t="s">
        <v>11</v>
      </c>
      <c r="C15" s="279"/>
      <c r="D15" s="280" t="s">
        <v>19</v>
      </c>
      <c r="E15" s="280"/>
      <c r="F15" s="117" t="s">
        <v>136</v>
      </c>
      <c r="G15" s="3">
        <v>200000</v>
      </c>
      <c r="H15" s="116" t="s">
        <v>41</v>
      </c>
      <c r="I15" s="3">
        <v>200000</v>
      </c>
      <c r="J15" s="50" t="s">
        <v>66</v>
      </c>
      <c r="K15" s="3">
        <v>200000</v>
      </c>
      <c r="L15" s="69"/>
      <c r="M15" s="71"/>
      <c r="N15" s="71">
        <f t="shared" si="2"/>
        <v>200000</v>
      </c>
      <c r="O15" s="94">
        <v>220247.26</v>
      </c>
      <c r="P15" s="71">
        <f t="shared" si="3"/>
        <v>-20247.260000000009</v>
      </c>
      <c r="Q15" s="72">
        <f t="shared" si="1"/>
        <v>110.12363000000001</v>
      </c>
    </row>
    <row r="16" spans="1:17" ht="30.75" customHeight="1" x14ac:dyDescent="0.25">
      <c r="A16" s="116" t="s">
        <v>139</v>
      </c>
      <c r="B16" s="279" t="s">
        <v>11</v>
      </c>
      <c r="C16" s="279"/>
      <c r="D16" s="280" t="s">
        <v>20</v>
      </c>
      <c r="E16" s="280"/>
      <c r="F16" s="117" t="s">
        <v>136</v>
      </c>
      <c r="G16" s="3">
        <v>1103000</v>
      </c>
      <c r="H16" s="116" t="s">
        <v>42</v>
      </c>
      <c r="I16" s="3">
        <v>2000000</v>
      </c>
      <c r="J16" s="50" t="s">
        <v>62</v>
      </c>
      <c r="K16" s="3">
        <v>2000000</v>
      </c>
      <c r="L16" s="70"/>
      <c r="M16" s="71">
        <v>4150000</v>
      </c>
      <c r="N16" s="71">
        <f t="shared" si="2"/>
        <v>6150000</v>
      </c>
      <c r="O16" s="94">
        <v>5619402.8799999999</v>
      </c>
      <c r="P16" s="71">
        <f t="shared" si="3"/>
        <v>530597.12000000011</v>
      </c>
      <c r="Q16" s="72">
        <f t="shared" si="1"/>
        <v>91.372404552845524</v>
      </c>
    </row>
    <row r="17" spans="1:17" ht="23.25" customHeight="1" x14ac:dyDescent="0.25">
      <c r="A17" s="285" t="s">
        <v>23</v>
      </c>
      <c r="B17" s="285"/>
      <c r="C17" s="285"/>
      <c r="D17" s="285"/>
      <c r="E17" s="285"/>
      <c r="F17" s="285"/>
      <c r="G17" s="285"/>
      <c r="H17" s="285"/>
      <c r="I17" s="53">
        <f>I18</f>
        <v>2200000</v>
      </c>
      <c r="J17" s="57"/>
      <c r="K17" s="53">
        <f>K18</f>
        <v>2200000</v>
      </c>
      <c r="L17" s="75">
        <f>L18</f>
        <v>0</v>
      </c>
      <c r="M17" s="76">
        <f t="shared" ref="M17" si="4">M18</f>
        <v>0</v>
      </c>
      <c r="N17" s="76">
        <f t="shared" si="2"/>
        <v>2200000</v>
      </c>
      <c r="O17" s="76">
        <f>O18</f>
        <v>1940527.54</v>
      </c>
      <c r="P17" s="76">
        <f t="shared" si="3"/>
        <v>259472.45999999996</v>
      </c>
      <c r="Q17" s="77">
        <f t="shared" si="1"/>
        <v>88.205797272727267</v>
      </c>
    </row>
    <row r="18" spans="1:17" ht="47.25" customHeight="1" x14ac:dyDescent="0.25">
      <c r="A18" s="116" t="s">
        <v>9</v>
      </c>
      <c r="B18" s="279" t="s">
        <v>10</v>
      </c>
      <c r="C18" s="279"/>
      <c r="D18" s="280" t="s">
        <v>141</v>
      </c>
      <c r="E18" s="280"/>
      <c r="F18" s="117" t="s">
        <v>140</v>
      </c>
      <c r="G18" s="5">
        <v>8500000</v>
      </c>
      <c r="H18" s="116" t="s">
        <v>43</v>
      </c>
      <c r="I18" s="3">
        <v>2200000</v>
      </c>
      <c r="J18" s="50" t="s">
        <v>143</v>
      </c>
      <c r="K18" s="3">
        <v>2200000</v>
      </c>
      <c r="L18" s="70"/>
      <c r="M18" s="71"/>
      <c r="N18" s="71">
        <f t="shared" si="2"/>
        <v>2200000</v>
      </c>
      <c r="O18" s="94">
        <v>1940527.54</v>
      </c>
      <c r="P18" s="71">
        <f t="shared" si="3"/>
        <v>259472.45999999996</v>
      </c>
      <c r="Q18" s="72">
        <f t="shared" si="1"/>
        <v>88.205797272727267</v>
      </c>
    </row>
    <row r="19" spans="1:17" ht="22.5" customHeight="1" x14ac:dyDescent="0.25">
      <c r="A19" s="285" t="s">
        <v>24</v>
      </c>
      <c r="B19" s="285"/>
      <c r="C19" s="285"/>
      <c r="D19" s="285"/>
      <c r="E19" s="285"/>
      <c r="F19" s="285"/>
      <c r="G19" s="285"/>
      <c r="H19" s="285"/>
      <c r="I19" s="53">
        <f>SUM(I20:I21)</f>
        <v>1500000</v>
      </c>
      <c r="J19" s="57"/>
      <c r="K19" s="53">
        <f>SUM(K20:K21)</f>
        <v>1500000</v>
      </c>
      <c r="L19" s="105">
        <f>L20+L21</f>
        <v>10000</v>
      </c>
      <c r="M19" s="104">
        <f t="shared" ref="M19" si="5">M20+M21</f>
        <v>10000</v>
      </c>
      <c r="N19" s="104">
        <f t="shared" si="2"/>
        <v>1500000</v>
      </c>
      <c r="O19" s="104">
        <f>O20+O21</f>
        <v>0</v>
      </c>
      <c r="P19" s="104">
        <f t="shared" si="3"/>
        <v>1500000</v>
      </c>
      <c r="Q19" s="73">
        <f t="shared" si="1"/>
        <v>0</v>
      </c>
    </row>
    <row r="20" spans="1:17" ht="30.75" customHeight="1" x14ac:dyDescent="0.25">
      <c r="A20" s="116" t="s">
        <v>57</v>
      </c>
      <c r="B20" s="279" t="s">
        <v>58</v>
      </c>
      <c r="C20" s="279"/>
      <c r="D20" s="280" t="s">
        <v>158</v>
      </c>
      <c r="E20" s="280"/>
      <c r="F20" s="117" t="s">
        <v>48</v>
      </c>
      <c r="G20" s="5">
        <v>5000000</v>
      </c>
      <c r="H20" s="116" t="s">
        <v>44</v>
      </c>
      <c r="I20" s="3">
        <v>1490000</v>
      </c>
      <c r="J20" s="50" t="s">
        <v>68</v>
      </c>
      <c r="K20" s="3">
        <v>1490000</v>
      </c>
      <c r="L20" s="70"/>
      <c r="M20" s="71">
        <v>10000</v>
      </c>
      <c r="N20" s="71">
        <f t="shared" si="2"/>
        <v>1500000</v>
      </c>
      <c r="O20" s="71">
        <v>0</v>
      </c>
      <c r="P20" s="71">
        <f t="shared" si="3"/>
        <v>1500000</v>
      </c>
      <c r="Q20" s="72">
        <f t="shared" si="1"/>
        <v>0</v>
      </c>
    </row>
    <row r="21" spans="1:17" ht="30.75" customHeight="1" x14ac:dyDescent="0.25">
      <c r="A21" s="116" t="s">
        <v>148</v>
      </c>
      <c r="B21" s="279" t="s">
        <v>149</v>
      </c>
      <c r="C21" s="279"/>
      <c r="D21" s="280" t="s">
        <v>60</v>
      </c>
      <c r="E21" s="280"/>
      <c r="F21" s="117" t="s">
        <v>136</v>
      </c>
      <c r="G21" s="5">
        <v>10000</v>
      </c>
      <c r="H21" s="116" t="s">
        <v>45</v>
      </c>
      <c r="I21" s="3">
        <v>10000</v>
      </c>
      <c r="J21" s="50" t="s">
        <v>68</v>
      </c>
      <c r="K21" s="3">
        <v>10000</v>
      </c>
      <c r="L21" s="70">
        <v>10000</v>
      </c>
      <c r="M21" s="71"/>
      <c r="N21" s="71">
        <f t="shared" si="2"/>
        <v>0</v>
      </c>
      <c r="O21" s="71">
        <v>0</v>
      </c>
      <c r="P21" s="71">
        <f t="shared" si="3"/>
        <v>0</v>
      </c>
      <c r="Q21" s="72" t="e">
        <f t="shared" si="1"/>
        <v>#DIV/0!</v>
      </c>
    </row>
    <row r="22" spans="1:17" s="96" customFormat="1" ht="30.75" customHeight="1" x14ac:dyDescent="0.25">
      <c r="A22" s="281" t="s">
        <v>131</v>
      </c>
      <c r="B22" s="282"/>
      <c r="C22" s="282"/>
      <c r="D22" s="282"/>
      <c r="E22" s="282"/>
      <c r="F22" s="282"/>
      <c r="G22" s="282"/>
      <c r="H22" s="282"/>
      <c r="I22" s="64">
        <f>I23</f>
        <v>2000</v>
      </c>
      <c r="J22" s="122"/>
      <c r="K22" s="64">
        <f>K23</f>
        <v>2000</v>
      </c>
      <c r="L22" s="105">
        <f>L23</f>
        <v>0</v>
      </c>
      <c r="M22" s="104">
        <f t="shared" ref="M22" si="6">M23</f>
        <v>53273000</v>
      </c>
      <c r="N22" s="104">
        <f t="shared" si="2"/>
        <v>53275000</v>
      </c>
      <c r="O22" s="104">
        <f>O23</f>
        <v>5403313.6200000001</v>
      </c>
      <c r="P22" s="104">
        <f t="shared" si="3"/>
        <v>47871686.380000003</v>
      </c>
      <c r="Q22" s="73">
        <f t="shared" si="1"/>
        <v>10.142306184889723</v>
      </c>
    </row>
    <row r="23" spans="1:17" ht="30.75" customHeight="1" x14ac:dyDescent="0.25">
      <c r="A23" s="61"/>
      <c r="B23" s="283"/>
      <c r="C23" s="283"/>
      <c r="D23" s="284" t="s">
        <v>21</v>
      </c>
      <c r="E23" s="284"/>
      <c r="F23" s="119" t="s">
        <v>47</v>
      </c>
      <c r="G23" s="62"/>
      <c r="H23" s="118" t="s">
        <v>132</v>
      </c>
      <c r="I23" s="63">
        <v>2000</v>
      </c>
      <c r="J23" s="50" t="s">
        <v>69</v>
      </c>
      <c r="K23" s="63">
        <v>2000</v>
      </c>
      <c r="L23" s="70"/>
      <c r="M23" s="71">
        <f>4853000+3420000+36000000+9000000</f>
        <v>53273000</v>
      </c>
      <c r="N23" s="71">
        <f t="shared" si="2"/>
        <v>53275000</v>
      </c>
      <c r="O23" s="94">
        <v>5403313.6200000001</v>
      </c>
      <c r="P23" s="71">
        <f t="shared" si="3"/>
        <v>47871686.380000003</v>
      </c>
      <c r="Q23" s="72">
        <f t="shared" si="1"/>
        <v>10.142306184889723</v>
      </c>
    </row>
    <row r="24" spans="1:17" ht="25.5" customHeight="1" x14ac:dyDescent="0.25">
      <c r="A24" s="65"/>
      <c r="B24" s="278"/>
      <c r="C24" s="278"/>
      <c r="D24" s="278"/>
      <c r="E24" s="278"/>
      <c r="F24" s="115"/>
      <c r="G24" s="66"/>
      <c r="H24" s="121" t="s">
        <v>46</v>
      </c>
      <c r="I24" s="55">
        <f>I19+I17+I3+I22</f>
        <v>18700000</v>
      </c>
      <c r="J24" s="55"/>
      <c r="K24" s="55">
        <f t="shared" ref="K24:P24" si="7">K19+K17+K3+K22</f>
        <v>18700000</v>
      </c>
      <c r="L24" s="55">
        <f t="shared" si="7"/>
        <v>230000</v>
      </c>
      <c r="M24" s="55">
        <f t="shared" si="7"/>
        <v>58513000</v>
      </c>
      <c r="N24" s="55">
        <f t="shared" si="7"/>
        <v>76983000</v>
      </c>
      <c r="O24" s="55">
        <f>O19+O17+O3+O22</f>
        <v>23324691.840000004</v>
      </c>
      <c r="P24" s="55">
        <f t="shared" si="7"/>
        <v>53658308.160000004</v>
      </c>
      <c r="Q24" s="73">
        <f t="shared" si="1"/>
        <v>30.298496862943772</v>
      </c>
    </row>
    <row r="25" spans="1:17" hidden="1" x14ac:dyDescent="0.25">
      <c r="A25" s="286" t="s">
        <v>151</v>
      </c>
      <c r="B25" s="286"/>
      <c r="C25" s="286"/>
      <c r="D25" s="286"/>
      <c r="E25" s="286"/>
      <c r="F25" s="286"/>
      <c r="G25" s="286"/>
      <c r="H25" s="286"/>
      <c r="I25" s="286"/>
      <c r="J25" s="286"/>
    </row>
    <row r="26" spans="1:17" hidden="1" x14ac:dyDescent="0.25">
      <c r="A26" s="286" t="s">
        <v>152</v>
      </c>
      <c r="B26" s="286"/>
      <c r="C26" s="286"/>
      <c r="D26" s="286"/>
      <c r="E26" s="286"/>
      <c r="F26" s="286"/>
      <c r="G26" s="286"/>
      <c r="H26" s="286"/>
      <c r="I26" s="286"/>
      <c r="J26" s="286"/>
      <c r="O26" s="97"/>
    </row>
    <row r="27" spans="1:17" hidden="1" x14ac:dyDescent="0.25">
      <c r="A27" s="286" t="s">
        <v>153</v>
      </c>
      <c r="B27" s="286"/>
      <c r="C27" s="286"/>
      <c r="D27" s="286"/>
      <c r="E27" s="286"/>
      <c r="F27" s="286"/>
      <c r="G27" s="286"/>
      <c r="H27" s="286"/>
      <c r="I27" s="286"/>
      <c r="J27" s="286"/>
    </row>
    <row r="28" spans="1:17" x14ac:dyDescent="0.25">
      <c r="G28" s="97"/>
    </row>
  </sheetData>
  <mergeCells count="46">
    <mergeCell ref="A1:Q1"/>
    <mergeCell ref="B2:C2"/>
    <mergeCell ref="D2:E2"/>
    <mergeCell ref="A3:H3"/>
    <mergeCell ref="B4:C4"/>
    <mergeCell ref="D4:E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A17:H17"/>
    <mergeCell ref="B18:C18"/>
    <mergeCell ref="D18:E18"/>
    <mergeCell ref="A19:H19"/>
    <mergeCell ref="B20:C20"/>
    <mergeCell ref="D20:E20"/>
    <mergeCell ref="A25:J25"/>
    <mergeCell ref="A26:J26"/>
    <mergeCell ref="A27:J27"/>
    <mergeCell ref="B21:C21"/>
    <mergeCell ref="D21:E21"/>
    <mergeCell ref="A22:H22"/>
    <mergeCell ref="B23:C23"/>
    <mergeCell ref="D23:E23"/>
    <mergeCell ref="B24:C24"/>
    <mergeCell ref="D24:E24"/>
  </mergeCells>
  <pageMargins left="0.51181102362204722" right="0.31496062992125984" top="0.35433070866141736" bottom="0.35433070866141736" header="0.31496062992125984" footer="0.31496062992125984"/>
  <pageSetup paperSize="9" scale="7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zoomScale="83" zoomScaleNormal="83" workbookViewId="0">
      <selection activeCell="H10" sqref="H10"/>
    </sheetView>
  </sheetViews>
  <sheetFormatPr defaultColWidth="9.140625" defaultRowHeight="15" x14ac:dyDescent="0.25"/>
  <cols>
    <col min="1" max="1" width="15.140625" style="1" customWidth="1"/>
    <col min="2" max="2" width="9.140625" style="1"/>
    <col min="3" max="3" width="16.7109375" style="1" customWidth="1"/>
    <col min="4" max="4" width="9.140625" style="1"/>
    <col min="5" max="5" width="16.7109375" style="1" customWidth="1"/>
    <col min="6" max="7" width="14" style="1" customWidth="1"/>
    <col min="8" max="8" width="34.7109375" style="1" customWidth="1"/>
    <col min="9" max="9" width="14.7109375" style="1" customWidth="1"/>
    <col min="10" max="10" width="28.42578125" style="6" customWidth="1"/>
    <col min="11" max="11" width="13.5703125" style="1" bestFit="1" customWidth="1"/>
    <col min="12" max="12" width="9.140625" style="1"/>
    <col min="13" max="13" width="13" style="1" customWidth="1"/>
    <col min="14" max="14" width="15" style="1" bestFit="1" customWidth="1"/>
    <col min="15" max="15" width="12.42578125" style="1" customWidth="1"/>
    <col min="16" max="16" width="13.140625" style="1" customWidth="1"/>
    <col min="17" max="16384" width="9.140625" style="1"/>
  </cols>
  <sheetData>
    <row r="1" spans="1:17" ht="20.25" customHeight="1" x14ac:dyDescent="0.25">
      <c r="A1" s="287" t="s">
        <v>159</v>
      </c>
      <c r="B1" s="287"/>
      <c r="C1" s="287"/>
      <c r="D1" s="287"/>
      <c r="E1" s="287"/>
      <c r="F1" s="287"/>
      <c r="G1" s="287"/>
      <c r="H1" s="287"/>
      <c r="I1" s="287"/>
      <c r="J1" s="287"/>
      <c r="K1" s="287"/>
      <c r="L1" s="287"/>
      <c r="M1" s="287"/>
      <c r="N1" s="287"/>
      <c r="O1" s="287"/>
      <c r="P1" s="287"/>
      <c r="Q1" s="287"/>
    </row>
    <row r="3" spans="1:17" ht="44.25" customHeight="1" x14ac:dyDescent="0.25">
      <c r="A3" s="108" t="s">
        <v>0</v>
      </c>
      <c r="B3" s="288" t="s">
        <v>1</v>
      </c>
      <c r="C3" s="288"/>
      <c r="D3" s="288" t="s">
        <v>2</v>
      </c>
      <c r="E3" s="288"/>
      <c r="F3" s="108" t="s">
        <v>27</v>
      </c>
      <c r="G3" s="108" t="s">
        <v>52</v>
      </c>
      <c r="H3" s="108" t="s">
        <v>28</v>
      </c>
      <c r="I3" s="108" t="s">
        <v>137</v>
      </c>
      <c r="J3" s="108" t="s">
        <v>25</v>
      </c>
      <c r="K3" s="68" t="s">
        <v>108</v>
      </c>
      <c r="L3" s="68" t="s">
        <v>109</v>
      </c>
      <c r="M3" s="68" t="s">
        <v>110</v>
      </c>
      <c r="N3" s="68" t="s">
        <v>111</v>
      </c>
      <c r="O3" s="68" t="s">
        <v>160</v>
      </c>
      <c r="P3" s="68" t="s">
        <v>113</v>
      </c>
      <c r="Q3" s="68" t="s">
        <v>114</v>
      </c>
    </row>
    <row r="4" spans="1:17" ht="18.75" customHeight="1" x14ac:dyDescent="0.25">
      <c r="A4" s="289" t="s">
        <v>22</v>
      </c>
      <c r="B4" s="289"/>
      <c r="C4" s="289"/>
      <c r="D4" s="289"/>
      <c r="E4" s="289"/>
      <c r="F4" s="289"/>
      <c r="G4" s="289"/>
      <c r="H4" s="289"/>
      <c r="I4" s="52">
        <f>SUM(I5:I15)</f>
        <v>17998000</v>
      </c>
      <c r="J4" s="58"/>
      <c r="K4" s="52">
        <f t="shared" ref="K4:P4" si="0">SUM(K5:K15)</f>
        <v>17998000</v>
      </c>
      <c r="L4" s="74">
        <f t="shared" si="0"/>
        <v>0</v>
      </c>
      <c r="M4" s="76">
        <f t="shared" si="0"/>
        <v>0</v>
      </c>
      <c r="N4" s="76">
        <f t="shared" si="0"/>
        <v>17998000</v>
      </c>
      <c r="O4" s="76">
        <f t="shared" si="0"/>
        <v>0</v>
      </c>
      <c r="P4" s="76">
        <f t="shared" si="0"/>
        <v>17998000</v>
      </c>
      <c r="Q4" s="73">
        <f t="shared" ref="Q4:Q23" si="1">(O4*100)/N4</f>
        <v>0</v>
      </c>
    </row>
    <row r="5" spans="1:17" s="4" customFormat="1" ht="30.75" customHeight="1" x14ac:dyDescent="0.25">
      <c r="A5" s="109"/>
      <c r="B5" s="279" t="s">
        <v>3</v>
      </c>
      <c r="C5" s="279"/>
      <c r="D5" s="280" t="s">
        <v>12</v>
      </c>
      <c r="E5" s="280"/>
      <c r="F5" s="110" t="s">
        <v>136</v>
      </c>
      <c r="G5" s="5"/>
      <c r="H5" s="109" t="s">
        <v>29</v>
      </c>
      <c r="I5" s="3">
        <v>300000</v>
      </c>
      <c r="J5" s="50" t="s">
        <v>62</v>
      </c>
      <c r="K5" s="3">
        <v>300000</v>
      </c>
      <c r="L5" s="69"/>
      <c r="M5" s="71"/>
      <c r="N5" s="71">
        <f t="shared" ref="N5:N22" si="2">I5-L5+M5</f>
        <v>300000</v>
      </c>
      <c r="O5" s="71"/>
      <c r="P5" s="71">
        <f t="shared" ref="P5:P22" si="3">N5-O5</f>
        <v>300000</v>
      </c>
      <c r="Q5" s="72">
        <f t="shared" si="1"/>
        <v>0</v>
      </c>
    </row>
    <row r="6" spans="1:17" s="4" customFormat="1" ht="30.75" customHeight="1" x14ac:dyDescent="0.25">
      <c r="A6" s="109" t="s">
        <v>4</v>
      </c>
      <c r="B6" s="279" t="s">
        <v>5</v>
      </c>
      <c r="C6" s="279"/>
      <c r="D6" s="280" t="s">
        <v>6</v>
      </c>
      <c r="E6" s="280"/>
      <c r="F6" s="110" t="s">
        <v>54</v>
      </c>
      <c r="G6" s="5"/>
      <c r="H6" s="109" t="s">
        <v>30</v>
      </c>
      <c r="I6" s="3">
        <v>1000000</v>
      </c>
      <c r="J6" s="50" t="s">
        <v>62</v>
      </c>
      <c r="K6" s="3">
        <v>1000000</v>
      </c>
      <c r="L6" s="69"/>
      <c r="M6" s="71"/>
      <c r="N6" s="71">
        <f t="shared" si="2"/>
        <v>1000000</v>
      </c>
      <c r="O6" s="71"/>
      <c r="P6" s="71">
        <f t="shared" si="3"/>
        <v>1000000</v>
      </c>
      <c r="Q6" s="72">
        <f t="shared" si="1"/>
        <v>0</v>
      </c>
    </row>
    <row r="7" spans="1:17" s="4" customFormat="1" ht="30.75" customHeight="1" x14ac:dyDescent="0.25">
      <c r="A7" s="109" t="s">
        <v>7</v>
      </c>
      <c r="B7" s="279" t="s">
        <v>8</v>
      </c>
      <c r="C7" s="279"/>
      <c r="D7" s="280" t="s">
        <v>138</v>
      </c>
      <c r="E7" s="280"/>
      <c r="F7" s="110" t="s">
        <v>54</v>
      </c>
      <c r="G7" s="5"/>
      <c r="H7" s="109" t="s">
        <v>31</v>
      </c>
      <c r="I7" s="3">
        <v>12198000</v>
      </c>
      <c r="J7" s="50" t="s">
        <v>62</v>
      </c>
      <c r="K7" s="3">
        <v>12198000</v>
      </c>
      <c r="L7" s="69"/>
      <c r="M7" s="71"/>
      <c r="N7" s="71">
        <f t="shared" si="2"/>
        <v>12198000</v>
      </c>
      <c r="O7" s="71"/>
      <c r="P7" s="71">
        <f t="shared" si="3"/>
        <v>12198000</v>
      </c>
      <c r="Q7" s="72">
        <f t="shared" si="1"/>
        <v>0</v>
      </c>
    </row>
    <row r="8" spans="1:17" s="4" customFormat="1" ht="30.75" customHeight="1" x14ac:dyDescent="0.25">
      <c r="A8" s="109"/>
      <c r="B8" s="279" t="s">
        <v>11</v>
      </c>
      <c r="C8" s="279"/>
      <c r="D8" s="280" t="s">
        <v>13</v>
      </c>
      <c r="E8" s="280"/>
      <c r="F8" s="110" t="s">
        <v>136</v>
      </c>
      <c r="G8" s="3"/>
      <c r="H8" s="109" t="s">
        <v>32</v>
      </c>
      <c r="I8" s="3">
        <v>250000</v>
      </c>
      <c r="J8" s="50" t="s">
        <v>63</v>
      </c>
      <c r="K8" s="3">
        <v>250000</v>
      </c>
      <c r="L8" s="69"/>
      <c r="M8" s="71"/>
      <c r="N8" s="71">
        <f t="shared" si="2"/>
        <v>250000</v>
      </c>
      <c r="O8" s="71"/>
      <c r="P8" s="71">
        <f t="shared" si="3"/>
        <v>250000</v>
      </c>
      <c r="Q8" s="72">
        <f t="shared" si="1"/>
        <v>0</v>
      </c>
    </row>
    <row r="9" spans="1:17" s="4" customFormat="1" ht="30.75" customHeight="1" x14ac:dyDescent="0.25">
      <c r="A9" s="109"/>
      <c r="B9" s="279" t="s">
        <v>11</v>
      </c>
      <c r="C9" s="279"/>
      <c r="D9" s="280" t="s">
        <v>35</v>
      </c>
      <c r="E9" s="280"/>
      <c r="F9" s="110" t="s">
        <v>136</v>
      </c>
      <c r="G9" s="3"/>
      <c r="H9" s="109" t="s">
        <v>36</v>
      </c>
      <c r="I9" s="3">
        <v>200000</v>
      </c>
      <c r="J9" s="50" t="s">
        <v>63</v>
      </c>
      <c r="K9" s="3">
        <v>200000</v>
      </c>
      <c r="L9" s="69"/>
      <c r="M9" s="71"/>
      <c r="N9" s="71">
        <f t="shared" si="2"/>
        <v>200000</v>
      </c>
      <c r="O9" s="71"/>
      <c r="P9" s="71">
        <f t="shared" si="3"/>
        <v>200000</v>
      </c>
      <c r="Q9" s="72">
        <f t="shared" si="1"/>
        <v>0</v>
      </c>
    </row>
    <row r="10" spans="1:17" s="4" customFormat="1" ht="30.75" customHeight="1" x14ac:dyDescent="0.25">
      <c r="A10" s="109"/>
      <c r="B10" s="279" t="s">
        <v>11</v>
      </c>
      <c r="C10" s="279"/>
      <c r="D10" s="280" t="s">
        <v>14</v>
      </c>
      <c r="E10" s="280"/>
      <c r="F10" s="110" t="s">
        <v>136</v>
      </c>
      <c r="G10" s="3"/>
      <c r="H10" s="109" t="s">
        <v>33</v>
      </c>
      <c r="I10" s="3">
        <v>500000</v>
      </c>
      <c r="J10" s="50" t="s">
        <v>64</v>
      </c>
      <c r="K10" s="3">
        <v>500000</v>
      </c>
      <c r="L10" s="69"/>
      <c r="M10" s="71"/>
      <c r="N10" s="71">
        <f t="shared" si="2"/>
        <v>500000</v>
      </c>
      <c r="O10" s="71"/>
      <c r="P10" s="71">
        <f t="shared" si="3"/>
        <v>500000</v>
      </c>
      <c r="Q10" s="72">
        <f t="shared" si="1"/>
        <v>0</v>
      </c>
    </row>
    <row r="11" spans="1:17" s="4" customFormat="1" ht="30.75" customHeight="1" x14ac:dyDescent="0.25">
      <c r="A11" s="109"/>
      <c r="B11" s="279" t="s">
        <v>11</v>
      </c>
      <c r="C11" s="279"/>
      <c r="D11" s="280" t="s">
        <v>15</v>
      </c>
      <c r="E11" s="280"/>
      <c r="F11" s="110" t="s">
        <v>136</v>
      </c>
      <c r="G11" s="3"/>
      <c r="H11" s="109" t="s">
        <v>37</v>
      </c>
      <c r="I11" s="3">
        <v>50000</v>
      </c>
      <c r="J11" s="50" t="s">
        <v>64</v>
      </c>
      <c r="K11" s="3">
        <v>50000</v>
      </c>
      <c r="L11" s="69"/>
      <c r="M11" s="71"/>
      <c r="N11" s="71">
        <f t="shared" si="2"/>
        <v>50000</v>
      </c>
      <c r="O11" s="71"/>
      <c r="P11" s="71">
        <f t="shared" si="3"/>
        <v>50000</v>
      </c>
      <c r="Q11" s="72">
        <f t="shared" si="1"/>
        <v>0</v>
      </c>
    </row>
    <row r="12" spans="1:17" s="4" customFormat="1" ht="30.75" customHeight="1" x14ac:dyDescent="0.25">
      <c r="A12" s="109"/>
      <c r="B12" s="279" t="s">
        <v>11</v>
      </c>
      <c r="C12" s="279"/>
      <c r="D12" s="280" t="s">
        <v>16</v>
      </c>
      <c r="E12" s="280"/>
      <c r="F12" s="110" t="s">
        <v>136</v>
      </c>
      <c r="G12" s="3"/>
      <c r="H12" s="109" t="s">
        <v>34</v>
      </c>
      <c r="I12" s="3">
        <v>1000000</v>
      </c>
      <c r="J12" s="50" t="s">
        <v>63</v>
      </c>
      <c r="K12" s="3">
        <v>1000000</v>
      </c>
      <c r="L12" s="69"/>
      <c r="M12" s="71"/>
      <c r="N12" s="71">
        <f t="shared" si="2"/>
        <v>1000000</v>
      </c>
      <c r="O12" s="71"/>
      <c r="P12" s="71">
        <f t="shared" si="3"/>
        <v>1000000</v>
      </c>
      <c r="Q12" s="72">
        <f t="shared" si="1"/>
        <v>0</v>
      </c>
    </row>
    <row r="13" spans="1:17" s="4" customFormat="1" ht="30.75" customHeight="1" x14ac:dyDescent="0.25">
      <c r="A13" s="109"/>
      <c r="B13" s="279" t="s">
        <v>11</v>
      </c>
      <c r="C13" s="279"/>
      <c r="D13" s="280" t="s">
        <v>18</v>
      </c>
      <c r="E13" s="280"/>
      <c r="F13" s="110" t="s">
        <v>136</v>
      </c>
      <c r="G13" s="3"/>
      <c r="H13" s="109" t="s">
        <v>40</v>
      </c>
      <c r="I13" s="3">
        <v>200000</v>
      </c>
      <c r="J13" s="50" t="s">
        <v>66</v>
      </c>
      <c r="K13" s="3">
        <v>200000</v>
      </c>
      <c r="L13" s="69"/>
      <c r="M13" s="71"/>
      <c r="N13" s="71">
        <f t="shared" si="2"/>
        <v>200000</v>
      </c>
      <c r="O13" s="71"/>
      <c r="P13" s="71">
        <f t="shared" si="3"/>
        <v>200000</v>
      </c>
      <c r="Q13" s="72">
        <f t="shared" si="1"/>
        <v>0</v>
      </c>
    </row>
    <row r="14" spans="1:17" s="4" customFormat="1" ht="30.75" customHeight="1" x14ac:dyDescent="0.25">
      <c r="A14" s="109"/>
      <c r="B14" s="279" t="s">
        <v>11</v>
      </c>
      <c r="C14" s="279"/>
      <c r="D14" s="280" t="s">
        <v>19</v>
      </c>
      <c r="E14" s="280"/>
      <c r="F14" s="110" t="s">
        <v>136</v>
      </c>
      <c r="G14" s="3"/>
      <c r="H14" s="109" t="s">
        <v>41</v>
      </c>
      <c r="I14" s="3">
        <v>300000</v>
      </c>
      <c r="J14" s="50" t="s">
        <v>66</v>
      </c>
      <c r="K14" s="3">
        <v>300000</v>
      </c>
      <c r="L14" s="69"/>
      <c r="M14" s="71"/>
      <c r="N14" s="71">
        <f t="shared" si="2"/>
        <v>300000</v>
      </c>
      <c r="O14" s="71"/>
      <c r="P14" s="71">
        <f t="shared" si="3"/>
        <v>300000</v>
      </c>
      <c r="Q14" s="72">
        <f t="shared" si="1"/>
        <v>0</v>
      </c>
    </row>
    <row r="15" spans="1:17" ht="30.75" customHeight="1" x14ac:dyDescent="0.25">
      <c r="A15" s="109"/>
      <c r="B15" s="279" t="s">
        <v>11</v>
      </c>
      <c r="C15" s="279"/>
      <c r="D15" s="280" t="s">
        <v>20</v>
      </c>
      <c r="E15" s="280"/>
      <c r="F15" s="110" t="s">
        <v>136</v>
      </c>
      <c r="G15" s="3"/>
      <c r="H15" s="109" t="s">
        <v>42</v>
      </c>
      <c r="I15" s="3">
        <v>2000000</v>
      </c>
      <c r="J15" s="50" t="s">
        <v>62</v>
      </c>
      <c r="K15" s="3">
        <v>2000000</v>
      </c>
      <c r="L15" s="70"/>
      <c r="M15" s="71"/>
      <c r="N15" s="71">
        <f t="shared" si="2"/>
        <v>2000000</v>
      </c>
      <c r="O15" s="71"/>
      <c r="P15" s="71">
        <f t="shared" si="3"/>
        <v>2000000</v>
      </c>
      <c r="Q15" s="72">
        <f t="shared" si="1"/>
        <v>0</v>
      </c>
    </row>
    <row r="16" spans="1:17" ht="23.25" customHeight="1" x14ac:dyDescent="0.25">
      <c r="A16" s="285" t="s">
        <v>23</v>
      </c>
      <c r="B16" s="285"/>
      <c r="C16" s="285"/>
      <c r="D16" s="285"/>
      <c r="E16" s="285"/>
      <c r="F16" s="285"/>
      <c r="G16" s="285"/>
      <c r="H16" s="285"/>
      <c r="I16" s="53">
        <f>I17</f>
        <v>2000000</v>
      </c>
      <c r="J16" s="57"/>
      <c r="K16" s="53">
        <f>K17</f>
        <v>2000000</v>
      </c>
      <c r="L16" s="75">
        <f>L17</f>
        <v>0</v>
      </c>
      <c r="M16" s="76">
        <f>M17</f>
        <v>0</v>
      </c>
      <c r="N16" s="76">
        <f t="shared" si="2"/>
        <v>2000000</v>
      </c>
      <c r="O16" s="76">
        <f>O17</f>
        <v>0</v>
      </c>
      <c r="P16" s="76">
        <f t="shared" si="3"/>
        <v>2000000</v>
      </c>
      <c r="Q16" s="77">
        <f t="shared" si="1"/>
        <v>0</v>
      </c>
    </row>
    <row r="17" spans="1:17" ht="47.25" customHeight="1" x14ac:dyDescent="0.25">
      <c r="A17" s="109" t="s">
        <v>9</v>
      </c>
      <c r="B17" s="279" t="s">
        <v>10</v>
      </c>
      <c r="C17" s="279"/>
      <c r="D17" s="280" t="s">
        <v>141</v>
      </c>
      <c r="E17" s="280"/>
      <c r="F17" s="110" t="s">
        <v>140</v>
      </c>
      <c r="G17" s="5"/>
      <c r="H17" s="109" t="s">
        <v>43</v>
      </c>
      <c r="I17" s="3">
        <v>2000000</v>
      </c>
      <c r="J17" s="50" t="s">
        <v>143</v>
      </c>
      <c r="K17" s="3">
        <v>2000000</v>
      </c>
      <c r="L17" s="70"/>
      <c r="M17" s="71"/>
      <c r="N17" s="71">
        <f t="shared" si="2"/>
        <v>2000000</v>
      </c>
      <c r="O17" s="71"/>
      <c r="P17" s="71">
        <f t="shared" si="3"/>
        <v>2000000</v>
      </c>
      <c r="Q17" s="72">
        <f t="shared" si="1"/>
        <v>0</v>
      </c>
    </row>
    <row r="18" spans="1:17" ht="22.5" customHeight="1" x14ac:dyDescent="0.25">
      <c r="A18" s="285" t="s">
        <v>24</v>
      </c>
      <c r="B18" s="285"/>
      <c r="C18" s="285"/>
      <c r="D18" s="285"/>
      <c r="E18" s="285"/>
      <c r="F18" s="285"/>
      <c r="G18" s="285"/>
      <c r="H18" s="285"/>
      <c r="I18" s="53">
        <f>SUM(I19:I20)</f>
        <v>3254000</v>
      </c>
      <c r="J18" s="57"/>
      <c r="K18" s="53">
        <f>SUM(K19:K20)</f>
        <v>3254000</v>
      </c>
      <c r="L18" s="75">
        <f>L19+L20</f>
        <v>0</v>
      </c>
      <c r="M18" s="76">
        <f>M19+M20</f>
        <v>0</v>
      </c>
      <c r="N18" s="76">
        <f t="shared" si="2"/>
        <v>3254000</v>
      </c>
      <c r="O18" s="76">
        <f>O19+O20</f>
        <v>0</v>
      </c>
      <c r="P18" s="76">
        <f t="shared" si="3"/>
        <v>3254000</v>
      </c>
      <c r="Q18" s="77">
        <f t="shared" si="1"/>
        <v>0</v>
      </c>
    </row>
    <row r="19" spans="1:17" ht="30.75" customHeight="1" x14ac:dyDescent="0.25">
      <c r="A19" s="109" t="s">
        <v>57</v>
      </c>
      <c r="B19" s="279" t="s">
        <v>161</v>
      </c>
      <c r="C19" s="279"/>
      <c r="D19" s="280" t="s">
        <v>150</v>
      </c>
      <c r="E19" s="280"/>
      <c r="F19" s="110" t="s">
        <v>48</v>
      </c>
      <c r="G19" s="5"/>
      <c r="H19" s="109" t="s">
        <v>44</v>
      </c>
      <c r="I19" s="3">
        <v>1754000</v>
      </c>
      <c r="J19" s="50" t="s">
        <v>68</v>
      </c>
      <c r="K19" s="3">
        <v>1754000</v>
      </c>
      <c r="L19" s="70"/>
      <c r="M19" s="71"/>
      <c r="N19" s="71">
        <f t="shared" si="2"/>
        <v>1754000</v>
      </c>
      <c r="O19" s="71"/>
      <c r="P19" s="71">
        <f t="shared" si="3"/>
        <v>1754000</v>
      </c>
      <c r="Q19" s="72">
        <f t="shared" si="1"/>
        <v>0</v>
      </c>
    </row>
    <row r="20" spans="1:17" ht="30.75" customHeight="1" x14ac:dyDescent="0.25">
      <c r="A20" s="109"/>
      <c r="B20" s="279" t="s">
        <v>70</v>
      </c>
      <c r="C20" s="279"/>
      <c r="D20" s="280" t="s">
        <v>60</v>
      </c>
      <c r="E20" s="280"/>
      <c r="F20" s="110" t="s">
        <v>136</v>
      </c>
      <c r="G20" s="5"/>
      <c r="H20" s="109" t="s">
        <v>45</v>
      </c>
      <c r="I20" s="3">
        <v>1500000</v>
      </c>
      <c r="J20" s="50" t="s">
        <v>68</v>
      </c>
      <c r="K20" s="3">
        <v>1500000</v>
      </c>
      <c r="L20" s="70"/>
      <c r="M20" s="71"/>
      <c r="N20" s="71">
        <f t="shared" si="2"/>
        <v>1500000</v>
      </c>
      <c r="O20" s="71"/>
      <c r="P20" s="71">
        <f t="shared" si="3"/>
        <v>1500000</v>
      </c>
      <c r="Q20" s="72">
        <f t="shared" si="1"/>
        <v>0</v>
      </c>
    </row>
    <row r="21" spans="1:17" ht="30.75" customHeight="1" x14ac:dyDescent="0.25">
      <c r="A21" s="281" t="s">
        <v>131</v>
      </c>
      <c r="B21" s="282"/>
      <c r="C21" s="282"/>
      <c r="D21" s="282"/>
      <c r="E21" s="282"/>
      <c r="F21" s="282"/>
      <c r="G21" s="282"/>
      <c r="H21" s="282"/>
      <c r="I21" s="64">
        <f>I22</f>
        <v>2000</v>
      </c>
      <c r="J21" s="57"/>
      <c r="K21" s="64">
        <f>K22</f>
        <v>2000</v>
      </c>
      <c r="L21" s="75">
        <f>L22</f>
        <v>0</v>
      </c>
      <c r="M21" s="76">
        <f>M22</f>
        <v>0</v>
      </c>
      <c r="N21" s="76">
        <f t="shared" si="2"/>
        <v>2000</v>
      </c>
      <c r="O21" s="76">
        <f>O22</f>
        <v>0</v>
      </c>
      <c r="P21" s="76">
        <f t="shared" si="3"/>
        <v>2000</v>
      </c>
      <c r="Q21" s="77">
        <f t="shared" si="1"/>
        <v>0</v>
      </c>
    </row>
    <row r="22" spans="1:17" ht="30.75" customHeight="1" x14ac:dyDescent="0.25">
      <c r="A22" s="61"/>
      <c r="B22" s="283"/>
      <c r="C22" s="283"/>
      <c r="D22" s="284" t="s">
        <v>21</v>
      </c>
      <c r="E22" s="284"/>
      <c r="F22" s="113" t="s">
        <v>47</v>
      </c>
      <c r="G22" s="62"/>
      <c r="H22" s="112" t="s">
        <v>132</v>
      </c>
      <c r="I22" s="63">
        <v>2000</v>
      </c>
      <c r="J22" s="50" t="s">
        <v>162</v>
      </c>
      <c r="K22" s="63">
        <v>2000</v>
      </c>
      <c r="L22" s="70"/>
      <c r="M22" s="71"/>
      <c r="N22" s="71">
        <f t="shared" si="2"/>
        <v>2000</v>
      </c>
      <c r="O22" s="71"/>
      <c r="P22" s="71">
        <f t="shared" si="3"/>
        <v>2000</v>
      </c>
      <c r="Q22" s="72">
        <f t="shared" si="1"/>
        <v>0</v>
      </c>
    </row>
    <row r="23" spans="1:17" ht="25.5" customHeight="1" x14ac:dyDescent="0.25">
      <c r="A23" s="65"/>
      <c r="B23" s="278"/>
      <c r="C23" s="278"/>
      <c r="D23" s="278"/>
      <c r="E23" s="278"/>
      <c r="F23" s="111"/>
      <c r="G23" s="66"/>
      <c r="H23" s="114" t="s">
        <v>46</v>
      </c>
      <c r="I23" s="55">
        <f>I18+I16+I4+I21</f>
        <v>23254000</v>
      </c>
      <c r="J23" s="55"/>
      <c r="K23" s="55">
        <f t="shared" ref="K23:P23" si="4">K18+K16+K4+K21</f>
        <v>23254000</v>
      </c>
      <c r="L23" s="55">
        <f t="shared" si="4"/>
        <v>0</v>
      </c>
      <c r="M23" s="55">
        <f t="shared" si="4"/>
        <v>0</v>
      </c>
      <c r="N23" s="55">
        <f t="shared" si="4"/>
        <v>23254000</v>
      </c>
      <c r="O23" s="55">
        <f t="shared" si="4"/>
        <v>0</v>
      </c>
      <c r="P23" s="55">
        <f t="shared" si="4"/>
        <v>23254000</v>
      </c>
      <c r="Q23" s="77">
        <f t="shared" si="1"/>
        <v>0</v>
      </c>
    </row>
    <row r="24" spans="1:17" x14ac:dyDescent="0.25">
      <c r="A24" s="286" t="s">
        <v>163</v>
      </c>
      <c r="B24" s="286"/>
      <c r="C24" s="286"/>
      <c r="D24" s="286"/>
      <c r="E24" s="286"/>
      <c r="F24" s="286"/>
      <c r="G24" s="286"/>
      <c r="H24" s="286"/>
      <c r="I24" s="286"/>
      <c r="J24" s="286"/>
    </row>
  </sheetData>
  <mergeCells count="40">
    <mergeCell ref="B23:C23"/>
    <mergeCell ref="D23:E23"/>
    <mergeCell ref="A24:J24"/>
    <mergeCell ref="B19:C19"/>
    <mergeCell ref="D19:E19"/>
    <mergeCell ref="B20:C20"/>
    <mergeCell ref="D20:E20"/>
    <mergeCell ref="A21:H21"/>
    <mergeCell ref="B22:C22"/>
    <mergeCell ref="D22:E22"/>
    <mergeCell ref="A18:H18"/>
    <mergeCell ref="B12:C12"/>
    <mergeCell ref="D12:E12"/>
    <mergeCell ref="B13:C13"/>
    <mergeCell ref="D13:E13"/>
    <mergeCell ref="B14:C14"/>
    <mergeCell ref="D14:E14"/>
    <mergeCell ref="B15:C15"/>
    <mergeCell ref="D15:E15"/>
    <mergeCell ref="A16:H16"/>
    <mergeCell ref="B17:C17"/>
    <mergeCell ref="D17:E17"/>
    <mergeCell ref="B9:C9"/>
    <mergeCell ref="D9:E9"/>
    <mergeCell ref="B10:C10"/>
    <mergeCell ref="D10:E10"/>
    <mergeCell ref="B11:C11"/>
    <mergeCell ref="D11:E11"/>
    <mergeCell ref="B6:C6"/>
    <mergeCell ref="D6:E6"/>
    <mergeCell ref="B7:C7"/>
    <mergeCell ref="D7:E7"/>
    <mergeCell ref="B8:C8"/>
    <mergeCell ref="D8:E8"/>
    <mergeCell ref="A1:Q1"/>
    <mergeCell ref="B3:C3"/>
    <mergeCell ref="D3:E3"/>
    <mergeCell ref="A4:H4"/>
    <mergeCell ref="B5:C5"/>
    <mergeCell ref="D5:E5"/>
  </mergeCells>
  <pageMargins left="0.51181102362204722" right="0.31496062992125984" top="0.35433070866141736" bottom="0.35433070866141736" header="0.31496062992125984" footer="0.31496062992125984"/>
  <pageSetup paperSize="9" scale="53"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8:T34"/>
  <sheetViews>
    <sheetView topLeftCell="A13" zoomScale="81" zoomScaleNormal="81" workbookViewId="0">
      <selection activeCell="G27" sqref="G27"/>
    </sheetView>
  </sheetViews>
  <sheetFormatPr defaultColWidth="9.140625" defaultRowHeight="15" x14ac:dyDescent="0.25"/>
  <cols>
    <col min="1" max="1" width="15.140625" style="1" customWidth="1"/>
    <col min="2" max="2" width="9.140625" style="1"/>
    <col min="3" max="3" width="16.7109375" style="1" customWidth="1"/>
    <col min="4" max="4" width="9.140625" style="1"/>
    <col min="5" max="5" width="16.7109375" style="1" customWidth="1"/>
    <col min="6" max="7" width="14" style="1" customWidth="1"/>
    <col min="8" max="8" width="34.7109375" style="1" customWidth="1"/>
    <col min="9" max="9" width="14.7109375" style="1" customWidth="1"/>
    <col min="10" max="10" width="28.42578125" style="6" customWidth="1"/>
    <col min="11" max="11" width="13.5703125" style="1" bestFit="1" customWidth="1"/>
    <col min="12" max="12" width="13.85546875" style="1" customWidth="1"/>
    <col min="13" max="13" width="14.85546875" style="1" customWidth="1"/>
    <col min="14" max="14" width="15" style="1" bestFit="1" customWidth="1"/>
    <col min="15" max="15" width="15.140625" style="1" customWidth="1"/>
    <col min="16" max="16" width="14.7109375" style="1" customWidth="1"/>
    <col min="17" max="19" width="9.140625" style="1"/>
    <col min="20" max="20" width="10.140625" style="1" bestFit="1" customWidth="1"/>
    <col min="21" max="16384" width="9.140625" style="1"/>
  </cols>
  <sheetData>
    <row r="8" spans="1:17" ht="20.25" customHeight="1" x14ac:dyDescent="0.25">
      <c r="A8" s="287" t="s">
        <v>190</v>
      </c>
      <c r="B8" s="287"/>
      <c r="C8" s="287"/>
      <c r="D8" s="287"/>
      <c r="E8" s="287"/>
      <c r="F8" s="287"/>
      <c r="G8" s="287"/>
      <c r="H8" s="287"/>
      <c r="I8" s="287"/>
      <c r="J8" s="287"/>
      <c r="K8" s="287"/>
      <c r="L8" s="287"/>
      <c r="M8" s="287"/>
      <c r="N8" s="287"/>
      <c r="O8" s="287"/>
      <c r="P8" s="287"/>
      <c r="Q8" s="287"/>
    </row>
    <row r="10" spans="1:17" ht="44.25" customHeight="1" x14ac:dyDescent="0.25">
      <c r="A10" s="127" t="s">
        <v>0</v>
      </c>
      <c r="B10" s="288" t="s">
        <v>1</v>
      </c>
      <c r="C10" s="288"/>
      <c r="D10" s="288" t="s">
        <v>2</v>
      </c>
      <c r="E10" s="288"/>
      <c r="F10" s="127" t="s">
        <v>27</v>
      </c>
      <c r="G10" s="127" t="s">
        <v>52</v>
      </c>
      <c r="H10" s="127" t="s">
        <v>28</v>
      </c>
      <c r="I10" s="127" t="s">
        <v>168</v>
      </c>
      <c r="J10" s="127" t="s">
        <v>25</v>
      </c>
      <c r="K10" s="68" t="s">
        <v>108</v>
      </c>
      <c r="L10" s="68" t="s">
        <v>109</v>
      </c>
      <c r="M10" s="68" t="s">
        <v>110</v>
      </c>
      <c r="N10" s="68" t="s">
        <v>111</v>
      </c>
      <c r="O10" s="68" t="s">
        <v>192</v>
      </c>
      <c r="P10" s="68" t="s">
        <v>113</v>
      </c>
      <c r="Q10" s="68" t="s">
        <v>114</v>
      </c>
    </row>
    <row r="11" spans="1:17" ht="18.75" customHeight="1" x14ac:dyDescent="0.25">
      <c r="A11" s="289" t="s">
        <v>22</v>
      </c>
      <c r="B11" s="289"/>
      <c r="C11" s="289"/>
      <c r="D11" s="289"/>
      <c r="E11" s="289"/>
      <c r="F11" s="289"/>
      <c r="G11" s="289"/>
      <c r="H11" s="289"/>
      <c r="I11" s="52">
        <f>SUM(I12:I22)</f>
        <v>17998000</v>
      </c>
      <c r="J11" s="58"/>
      <c r="K11" s="52">
        <f t="shared" ref="K11:P11" si="0">SUM(K12:K22)</f>
        <v>17998000</v>
      </c>
      <c r="L11" s="74">
        <f t="shared" si="0"/>
        <v>0</v>
      </c>
      <c r="M11" s="76">
        <f t="shared" si="0"/>
        <v>3650000</v>
      </c>
      <c r="N11" s="76">
        <f t="shared" si="0"/>
        <v>21648000</v>
      </c>
      <c r="O11" s="76">
        <f t="shared" si="0"/>
        <v>17839943.690000001</v>
      </c>
      <c r="P11" s="76">
        <f t="shared" si="0"/>
        <v>3808056.3099999996</v>
      </c>
      <c r="Q11" s="73">
        <f t="shared" ref="Q11:Q30" si="1">(O11*100)/N11</f>
        <v>82.409200341832971</v>
      </c>
    </row>
    <row r="12" spans="1:17" s="4" customFormat="1" ht="30.75" customHeight="1" x14ac:dyDescent="0.25">
      <c r="A12" s="124" t="s">
        <v>164</v>
      </c>
      <c r="B12" s="279" t="s">
        <v>180</v>
      </c>
      <c r="C12" s="279"/>
      <c r="D12" s="280" t="s">
        <v>12</v>
      </c>
      <c r="E12" s="280"/>
      <c r="F12" s="125" t="s">
        <v>165</v>
      </c>
      <c r="G12" s="5">
        <v>300000</v>
      </c>
      <c r="H12" s="124" t="s">
        <v>29</v>
      </c>
      <c r="I12" s="3">
        <v>300000</v>
      </c>
      <c r="J12" s="50" t="s">
        <v>62</v>
      </c>
      <c r="K12" s="3">
        <v>300000</v>
      </c>
      <c r="L12" s="69"/>
      <c r="M12" s="71"/>
      <c r="N12" s="71">
        <f t="shared" ref="N12:N29" si="2">I12-L12+M12</f>
        <v>300000</v>
      </c>
      <c r="O12" s="71">
        <v>141887.78</v>
      </c>
      <c r="P12" s="71">
        <f t="shared" ref="P12:P29" si="3">N12-O12</f>
        <v>158112.22</v>
      </c>
      <c r="Q12" s="72">
        <f t="shared" si="1"/>
        <v>47.295926666666666</v>
      </c>
    </row>
    <row r="13" spans="1:17" s="4" customFormat="1" ht="47.25" customHeight="1" x14ac:dyDescent="0.25">
      <c r="A13" s="124" t="s">
        <v>4</v>
      </c>
      <c r="B13" s="279" t="s">
        <v>181</v>
      </c>
      <c r="C13" s="279"/>
      <c r="D13" s="280" t="s">
        <v>167</v>
      </c>
      <c r="E13" s="280"/>
      <c r="F13" s="125" t="s">
        <v>166</v>
      </c>
      <c r="G13" s="5">
        <v>10000000</v>
      </c>
      <c r="H13" s="124" t="s">
        <v>30</v>
      </c>
      <c r="I13" s="3">
        <v>1000000</v>
      </c>
      <c r="J13" s="50" t="s">
        <v>62</v>
      </c>
      <c r="K13" s="3">
        <v>1000000</v>
      </c>
      <c r="L13" s="69"/>
      <c r="M13" s="71">
        <v>1000000</v>
      </c>
      <c r="N13" s="71">
        <f t="shared" si="2"/>
        <v>2000000</v>
      </c>
      <c r="O13" s="71">
        <v>1015204.63</v>
      </c>
      <c r="P13" s="71">
        <f t="shared" si="3"/>
        <v>984795.37</v>
      </c>
      <c r="Q13" s="72">
        <f t="shared" si="1"/>
        <v>50.760231500000003</v>
      </c>
    </row>
    <row r="14" spans="1:17" s="4" customFormat="1" ht="93" customHeight="1" x14ac:dyDescent="0.25">
      <c r="A14" s="124" t="s">
        <v>7</v>
      </c>
      <c r="B14" s="279" t="s">
        <v>182</v>
      </c>
      <c r="C14" s="279"/>
      <c r="D14" s="280" t="s">
        <v>191</v>
      </c>
      <c r="E14" s="280"/>
      <c r="F14" s="125" t="s">
        <v>166</v>
      </c>
      <c r="G14" s="5">
        <v>71600</v>
      </c>
      <c r="H14" s="124" t="s">
        <v>31</v>
      </c>
      <c r="I14" s="3">
        <v>12198000</v>
      </c>
      <c r="J14" s="50" t="s">
        <v>62</v>
      </c>
      <c r="K14" s="3">
        <v>12198000</v>
      </c>
      <c r="L14" s="69"/>
      <c r="M14" s="71"/>
      <c r="N14" s="71">
        <f t="shared" si="2"/>
        <v>12198000</v>
      </c>
      <c r="O14" s="71">
        <v>9562944.5</v>
      </c>
      <c r="P14" s="71">
        <f t="shared" si="3"/>
        <v>2635055.5</v>
      </c>
      <c r="Q14" s="72">
        <f t="shared" si="1"/>
        <v>78.397643056238721</v>
      </c>
    </row>
    <row r="15" spans="1:17" s="4" customFormat="1" ht="30.75" customHeight="1" x14ac:dyDescent="0.25">
      <c r="A15" s="124" t="s">
        <v>169</v>
      </c>
      <c r="B15" s="279" t="s">
        <v>183</v>
      </c>
      <c r="C15" s="279"/>
      <c r="D15" s="280" t="s">
        <v>13</v>
      </c>
      <c r="E15" s="280"/>
      <c r="F15" s="125" t="s">
        <v>170</v>
      </c>
      <c r="G15" s="307">
        <v>4500000</v>
      </c>
      <c r="H15" s="124" t="s">
        <v>32</v>
      </c>
      <c r="I15" s="3">
        <v>250000</v>
      </c>
      <c r="J15" s="50" t="s">
        <v>63</v>
      </c>
      <c r="K15" s="3">
        <v>250000</v>
      </c>
      <c r="L15" s="69"/>
      <c r="M15" s="71">
        <f>150000+50000</f>
        <v>200000</v>
      </c>
      <c r="N15" s="71">
        <f t="shared" si="2"/>
        <v>450000</v>
      </c>
      <c r="O15" s="71">
        <f>628727.74+88927.27+3371.38</f>
        <v>721026.39</v>
      </c>
      <c r="P15" s="71">
        <f t="shared" si="3"/>
        <v>-271026.39</v>
      </c>
      <c r="Q15" s="72">
        <f t="shared" si="1"/>
        <v>160.22808666666666</v>
      </c>
    </row>
    <row r="16" spans="1:17" s="4" customFormat="1" ht="30.75" customHeight="1" x14ac:dyDescent="0.25">
      <c r="A16" s="124" t="s">
        <v>169</v>
      </c>
      <c r="B16" s="279" t="s">
        <v>183</v>
      </c>
      <c r="C16" s="279"/>
      <c r="D16" s="280" t="s">
        <v>35</v>
      </c>
      <c r="E16" s="280"/>
      <c r="F16" s="125" t="s">
        <v>170</v>
      </c>
      <c r="G16" s="308"/>
      <c r="H16" s="124" t="s">
        <v>36</v>
      </c>
      <c r="I16" s="3">
        <v>200000</v>
      </c>
      <c r="J16" s="50" t="s">
        <v>63</v>
      </c>
      <c r="K16" s="3">
        <v>200000</v>
      </c>
      <c r="L16" s="69"/>
      <c r="M16" s="71"/>
      <c r="N16" s="71">
        <f t="shared" si="2"/>
        <v>200000</v>
      </c>
      <c r="O16" s="94">
        <f>217146.17+96139.76+2773</f>
        <v>316058.93</v>
      </c>
      <c r="P16" s="71">
        <f t="shared" si="3"/>
        <v>-116058.93</v>
      </c>
      <c r="Q16" s="72">
        <f t="shared" si="1"/>
        <v>158.02946499999999</v>
      </c>
    </row>
    <row r="17" spans="1:20" s="4" customFormat="1" ht="30.75" customHeight="1" x14ac:dyDescent="0.25">
      <c r="A17" s="124" t="s">
        <v>169</v>
      </c>
      <c r="B17" s="279" t="s">
        <v>183</v>
      </c>
      <c r="C17" s="279"/>
      <c r="D17" s="280" t="s">
        <v>14</v>
      </c>
      <c r="E17" s="280"/>
      <c r="F17" s="125" t="s">
        <v>170</v>
      </c>
      <c r="G17" s="308"/>
      <c r="H17" s="124" t="s">
        <v>33</v>
      </c>
      <c r="I17" s="3">
        <v>500000</v>
      </c>
      <c r="J17" s="50" t="s">
        <v>64</v>
      </c>
      <c r="K17" s="3">
        <v>500000</v>
      </c>
      <c r="L17" s="69"/>
      <c r="M17" s="71">
        <v>250000</v>
      </c>
      <c r="N17" s="71">
        <f t="shared" si="2"/>
        <v>750000</v>
      </c>
      <c r="O17" s="71">
        <v>825947.59</v>
      </c>
      <c r="P17" s="71">
        <f t="shared" si="3"/>
        <v>-75947.589999999967</v>
      </c>
      <c r="Q17" s="72">
        <f t="shared" si="1"/>
        <v>110.12634533333333</v>
      </c>
    </row>
    <row r="18" spans="1:20" s="4" customFormat="1" ht="30.75" customHeight="1" x14ac:dyDescent="0.25">
      <c r="A18" s="124" t="s">
        <v>169</v>
      </c>
      <c r="B18" s="279" t="s">
        <v>183</v>
      </c>
      <c r="C18" s="279"/>
      <c r="D18" s="280" t="s">
        <v>15</v>
      </c>
      <c r="E18" s="280"/>
      <c r="F18" s="125" t="s">
        <v>170</v>
      </c>
      <c r="G18" s="308"/>
      <c r="H18" s="124" t="s">
        <v>37</v>
      </c>
      <c r="I18" s="3">
        <v>50000</v>
      </c>
      <c r="J18" s="50" t="s">
        <v>64</v>
      </c>
      <c r="K18" s="3">
        <v>50000</v>
      </c>
      <c r="L18" s="69"/>
      <c r="M18" s="71"/>
      <c r="N18" s="71">
        <f t="shared" si="2"/>
        <v>50000</v>
      </c>
      <c r="O18" s="71">
        <v>46571.65</v>
      </c>
      <c r="P18" s="71">
        <f t="shared" si="3"/>
        <v>3428.3499999999985</v>
      </c>
      <c r="Q18" s="72">
        <f t="shared" si="1"/>
        <v>93.143299999999996</v>
      </c>
    </row>
    <row r="19" spans="1:20" s="4" customFormat="1" ht="54" customHeight="1" x14ac:dyDescent="0.25">
      <c r="A19" s="124" t="s">
        <v>169</v>
      </c>
      <c r="B19" s="279" t="s">
        <v>183</v>
      </c>
      <c r="C19" s="279"/>
      <c r="D19" s="280" t="s">
        <v>16</v>
      </c>
      <c r="E19" s="280"/>
      <c r="F19" s="125" t="s">
        <v>170</v>
      </c>
      <c r="G19" s="308"/>
      <c r="H19" s="124" t="s">
        <v>34</v>
      </c>
      <c r="I19" s="3">
        <v>1000000</v>
      </c>
      <c r="J19" s="50" t="s">
        <v>179</v>
      </c>
      <c r="K19" s="3">
        <v>1000000</v>
      </c>
      <c r="L19" s="69"/>
      <c r="M19" s="71">
        <v>1310000</v>
      </c>
      <c r="N19" s="71">
        <f t="shared" si="2"/>
        <v>2310000</v>
      </c>
      <c r="O19" s="71">
        <v>1844627.31</v>
      </c>
      <c r="P19" s="71">
        <f t="shared" si="3"/>
        <v>465372.68999999994</v>
      </c>
      <c r="Q19" s="72">
        <f t="shared" si="1"/>
        <v>79.853996103896108</v>
      </c>
    </row>
    <row r="20" spans="1:20" s="4" customFormat="1" ht="30.75" customHeight="1" x14ac:dyDescent="0.25">
      <c r="A20" s="124" t="s">
        <v>169</v>
      </c>
      <c r="B20" s="279" t="s">
        <v>183</v>
      </c>
      <c r="C20" s="279"/>
      <c r="D20" s="280" t="s">
        <v>18</v>
      </c>
      <c r="E20" s="280"/>
      <c r="F20" s="125" t="s">
        <v>170</v>
      </c>
      <c r="G20" s="308"/>
      <c r="H20" s="124" t="s">
        <v>40</v>
      </c>
      <c r="I20" s="3">
        <v>200000</v>
      </c>
      <c r="J20" s="50" t="s">
        <v>66</v>
      </c>
      <c r="K20" s="3">
        <v>200000</v>
      </c>
      <c r="L20" s="69"/>
      <c r="M20" s="71">
        <v>40000</v>
      </c>
      <c r="N20" s="71">
        <f t="shared" si="2"/>
        <v>240000</v>
      </c>
      <c r="O20" s="71">
        <f>177851.3+4008.84+33225</f>
        <v>215085.13999999998</v>
      </c>
      <c r="P20" s="71">
        <f t="shared" si="3"/>
        <v>24914.860000000015</v>
      </c>
      <c r="Q20" s="72">
        <f t="shared" si="1"/>
        <v>89.618808333333334</v>
      </c>
    </row>
    <row r="21" spans="1:20" s="4" customFormat="1" ht="30.75" customHeight="1" x14ac:dyDescent="0.25">
      <c r="A21" s="124" t="s">
        <v>169</v>
      </c>
      <c r="B21" s="279" t="s">
        <v>183</v>
      </c>
      <c r="C21" s="279"/>
      <c r="D21" s="280" t="s">
        <v>19</v>
      </c>
      <c r="E21" s="280"/>
      <c r="F21" s="125" t="s">
        <v>170</v>
      </c>
      <c r="G21" s="308"/>
      <c r="H21" s="124" t="s">
        <v>41</v>
      </c>
      <c r="I21" s="3">
        <v>300000</v>
      </c>
      <c r="J21" s="50" t="s">
        <v>66</v>
      </c>
      <c r="K21" s="3">
        <v>300000</v>
      </c>
      <c r="L21" s="69"/>
      <c r="M21" s="71"/>
      <c r="N21" s="71">
        <f t="shared" si="2"/>
        <v>300000</v>
      </c>
      <c r="O21" s="71">
        <v>304534.90000000002</v>
      </c>
      <c r="P21" s="71">
        <f t="shared" si="3"/>
        <v>-4534.9000000000233</v>
      </c>
      <c r="Q21" s="72">
        <f t="shared" si="1"/>
        <v>101.51163333333335</v>
      </c>
      <c r="T21" s="93"/>
    </row>
    <row r="22" spans="1:20" ht="30.75" customHeight="1" x14ac:dyDescent="0.25">
      <c r="A22" s="124" t="s">
        <v>169</v>
      </c>
      <c r="B22" s="279" t="s">
        <v>183</v>
      </c>
      <c r="C22" s="279"/>
      <c r="D22" s="280" t="s">
        <v>20</v>
      </c>
      <c r="E22" s="280"/>
      <c r="F22" s="125" t="s">
        <v>170</v>
      </c>
      <c r="G22" s="309"/>
      <c r="H22" s="124" t="s">
        <v>42</v>
      </c>
      <c r="I22" s="3">
        <v>2000000</v>
      </c>
      <c r="J22" s="50" t="s">
        <v>62</v>
      </c>
      <c r="K22" s="3">
        <v>2000000</v>
      </c>
      <c r="L22" s="70"/>
      <c r="M22" s="71">
        <v>850000</v>
      </c>
      <c r="N22" s="71">
        <f t="shared" si="2"/>
        <v>2850000</v>
      </c>
      <c r="O22" s="71">
        <v>2846054.87</v>
      </c>
      <c r="P22" s="71">
        <f t="shared" si="3"/>
        <v>3945.1299999998882</v>
      </c>
      <c r="Q22" s="72">
        <f t="shared" si="1"/>
        <v>99.861574385964914</v>
      </c>
    </row>
    <row r="23" spans="1:20" ht="23.25" customHeight="1" x14ac:dyDescent="0.25">
      <c r="A23" s="285" t="s">
        <v>23</v>
      </c>
      <c r="B23" s="285"/>
      <c r="C23" s="285"/>
      <c r="D23" s="285"/>
      <c r="E23" s="285"/>
      <c r="F23" s="285"/>
      <c r="G23" s="285"/>
      <c r="H23" s="285"/>
      <c r="I23" s="53">
        <f>I24</f>
        <v>2000000</v>
      </c>
      <c r="J23" s="57"/>
      <c r="K23" s="53">
        <f>K24</f>
        <v>2000000</v>
      </c>
      <c r="L23" s="75">
        <f>L24</f>
        <v>1850000</v>
      </c>
      <c r="M23" s="76">
        <f>M24</f>
        <v>0</v>
      </c>
      <c r="N23" s="76">
        <f t="shared" si="2"/>
        <v>150000</v>
      </c>
      <c r="O23" s="76">
        <f>O24</f>
        <v>112597.59</v>
      </c>
      <c r="P23" s="76">
        <f t="shared" si="3"/>
        <v>37402.410000000003</v>
      </c>
      <c r="Q23" s="77">
        <f t="shared" si="1"/>
        <v>75.065060000000003</v>
      </c>
    </row>
    <row r="24" spans="1:20" ht="49.5" customHeight="1" x14ac:dyDescent="0.25">
      <c r="A24" s="124" t="s">
        <v>9</v>
      </c>
      <c r="B24" s="279" t="s">
        <v>184</v>
      </c>
      <c r="C24" s="279"/>
      <c r="D24" s="280" t="s">
        <v>171</v>
      </c>
      <c r="E24" s="280"/>
      <c r="F24" s="125" t="s">
        <v>140</v>
      </c>
      <c r="G24" s="5">
        <v>8600000</v>
      </c>
      <c r="H24" s="124" t="s">
        <v>43</v>
      </c>
      <c r="I24" s="3">
        <v>2000000</v>
      </c>
      <c r="J24" s="50" t="s">
        <v>143</v>
      </c>
      <c r="K24" s="3">
        <v>2000000</v>
      </c>
      <c r="L24" s="70">
        <v>1850000</v>
      </c>
      <c r="M24" s="71"/>
      <c r="N24" s="71">
        <f t="shared" si="2"/>
        <v>150000</v>
      </c>
      <c r="O24" s="71">
        <v>112597.59</v>
      </c>
      <c r="P24" s="71">
        <f t="shared" si="3"/>
        <v>37402.410000000003</v>
      </c>
      <c r="Q24" s="72">
        <f t="shared" si="1"/>
        <v>75.065060000000003</v>
      </c>
    </row>
    <row r="25" spans="1:20" ht="22.5" customHeight="1" x14ac:dyDescent="0.25">
      <c r="A25" s="285" t="s">
        <v>24</v>
      </c>
      <c r="B25" s="285"/>
      <c r="C25" s="285"/>
      <c r="D25" s="285"/>
      <c r="E25" s="285"/>
      <c r="F25" s="285"/>
      <c r="G25" s="285"/>
      <c r="H25" s="285"/>
      <c r="I25" s="53">
        <f>SUM(I26:I27)</f>
        <v>3254000</v>
      </c>
      <c r="J25" s="57"/>
      <c r="K25" s="53">
        <f>SUM(K26:K27)</f>
        <v>3254000</v>
      </c>
      <c r="L25" s="75">
        <f>L26+L27</f>
        <v>0</v>
      </c>
      <c r="M25" s="76">
        <f>M26+M27</f>
        <v>290000</v>
      </c>
      <c r="N25" s="76">
        <f t="shared" si="2"/>
        <v>3544000</v>
      </c>
      <c r="O25" s="76">
        <f>O26+O27</f>
        <v>0</v>
      </c>
      <c r="P25" s="76">
        <f t="shared" si="3"/>
        <v>3544000</v>
      </c>
      <c r="Q25" s="77">
        <f t="shared" si="1"/>
        <v>0</v>
      </c>
    </row>
    <row r="26" spans="1:20" ht="45.75" customHeight="1" x14ac:dyDescent="0.25">
      <c r="A26" s="124" t="s">
        <v>57</v>
      </c>
      <c r="B26" s="279" t="s">
        <v>161</v>
      </c>
      <c r="C26" s="279"/>
      <c r="D26" s="280" t="s">
        <v>172</v>
      </c>
      <c r="E26" s="280"/>
      <c r="F26" s="125" t="s">
        <v>48</v>
      </c>
      <c r="G26" s="5">
        <v>5601000</v>
      </c>
      <c r="H26" s="124" t="s">
        <v>44</v>
      </c>
      <c r="I26" s="3">
        <v>1754000</v>
      </c>
      <c r="J26" s="50" t="s">
        <v>178</v>
      </c>
      <c r="K26" s="3">
        <v>1754000</v>
      </c>
      <c r="L26" s="70"/>
      <c r="M26" s="71"/>
      <c r="N26" s="71">
        <f t="shared" si="2"/>
        <v>1754000</v>
      </c>
      <c r="O26" s="71"/>
      <c r="P26" s="71">
        <f t="shared" si="3"/>
        <v>1754000</v>
      </c>
      <c r="Q26" s="72">
        <f t="shared" si="1"/>
        <v>0</v>
      </c>
    </row>
    <row r="27" spans="1:20" ht="48" customHeight="1" x14ac:dyDescent="0.25">
      <c r="A27" s="124" t="s">
        <v>173</v>
      </c>
      <c r="B27" s="279" t="s">
        <v>175</v>
      </c>
      <c r="C27" s="279"/>
      <c r="D27" s="280" t="s">
        <v>176</v>
      </c>
      <c r="E27" s="280"/>
      <c r="F27" s="125" t="s">
        <v>165</v>
      </c>
      <c r="G27" s="5">
        <v>1500000</v>
      </c>
      <c r="H27" s="124" t="s">
        <v>174</v>
      </c>
      <c r="I27" s="3">
        <v>1500000</v>
      </c>
      <c r="J27" s="50" t="s">
        <v>68</v>
      </c>
      <c r="K27" s="3">
        <v>1500000</v>
      </c>
      <c r="L27" s="70"/>
      <c r="M27" s="71">
        <v>290000</v>
      </c>
      <c r="N27" s="71">
        <f t="shared" si="2"/>
        <v>1790000</v>
      </c>
      <c r="O27" s="71"/>
      <c r="P27" s="71">
        <f t="shared" si="3"/>
        <v>1790000</v>
      </c>
      <c r="Q27" s="72">
        <f t="shared" si="1"/>
        <v>0</v>
      </c>
    </row>
    <row r="28" spans="1:20" ht="30.75" customHeight="1" x14ac:dyDescent="0.25">
      <c r="A28" s="281" t="s">
        <v>131</v>
      </c>
      <c r="B28" s="282"/>
      <c r="C28" s="282"/>
      <c r="D28" s="282"/>
      <c r="E28" s="282"/>
      <c r="F28" s="282"/>
      <c r="G28" s="282"/>
      <c r="H28" s="282"/>
      <c r="I28" s="64">
        <f>I29</f>
        <v>2000</v>
      </c>
      <c r="J28" s="57"/>
      <c r="K28" s="64">
        <f>K29</f>
        <v>2000</v>
      </c>
      <c r="L28" s="75">
        <f>L29</f>
        <v>0</v>
      </c>
      <c r="M28" s="76">
        <f>M29</f>
        <v>188922000</v>
      </c>
      <c r="N28" s="76">
        <f t="shared" si="2"/>
        <v>188924000</v>
      </c>
      <c r="O28" s="76">
        <f>O29</f>
        <v>46181074.469999999</v>
      </c>
      <c r="P28" s="76">
        <f t="shared" si="3"/>
        <v>142742925.53</v>
      </c>
      <c r="Q28" s="77">
        <f t="shared" si="1"/>
        <v>24.444260374542143</v>
      </c>
    </row>
    <row r="29" spans="1:20" ht="30.75" customHeight="1" x14ac:dyDescent="0.25">
      <c r="A29" s="61"/>
      <c r="B29" s="283"/>
      <c r="C29" s="283"/>
      <c r="D29" s="284" t="s">
        <v>21</v>
      </c>
      <c r="E29" s="284"/>
      <c r="F29" s="129" t="s">
        <v>165</v>
      </c>
      <c r="G29" s="62"/>
      <c r="H29" s="126" t="s">
        <v>132</v>
      </c>
      <c r="I29" s="63">
        <v>2000</v>
      </c>
      <c r="J29" s="50" t="s">
        <v>162</v>
      </c>
      <c r="K29" s="63">
        <v>2000</v>
      </c>
      <c r="L29" s="70"/>
      <c r="M29" s="71">
        <f>47869000+2250000+138803000</f>
        <v>188922000</v>
      </c>
      <c r="N29" s="71">
        <f t="shared" si="2"/>
        <v>188924000</v>
      </c>
      <c r="O29" s="71">
        <v>46181074.469999999</v>
      </c>
      <c r="P29" s="71">
        <f t="shared" si="3"/>
        <v>142742925.53</v>
      </c>
      <c r="Q29" s="72">
        <f t="shared" si="1"/>
        <v>24.444260374542143</v>
      </c>
    </row>
    <row r="30" spans="1:20" ht="25.5" customHeight="1" x14ac:dyDescent="0.25">
      <c r="A30" s="65"/>
      <c r="B30" s="278"/>
      <c r="C30" s="278"/>
      <c r="D30" s="278"/>
      <c r="E30" s="278"/>
      <c r="F30" s="123"/>
      <c r="G30" s="66"/>
      <c r="H30" s="128" t="s">
        <v>46</v>
      </c>
      <c r="I30" s="55">
        <f>I25+I23+I11+I28</f>
        <v>23254000</v>
      </c>
      <c r="J30" s="55"/>
      <c r="K30" s="55">
        <f t="shared" ref="K30:P30" si="4">K25+K23+K11+K28</f>
        <v>23254000</v>
      </c>
      <c r="L30" s="55">
        <f t="shared" si="4"/>
        <v>1850000</v>
      </c>
      <c r="M30" s="55">
        <f t="shared" si="4"/>
        <v>192862000</v>
      </c>
      <c r="N30" s="55">
        <f>N25+N23+N11+N28</f>
        <v>214266000</v>
      </c>
      <c r="O30" s="55">
        <f t="shared" si="4"/>
        <v>64133615.75</v>
      </c>
      <c r="P30" s="55">
        <f t="shared" si="4"/>
        <v>150132384.25</v>
      </c>
      <c r="Q30" s="77">
        <f t="shared" si="1"/>
        <v>29.931774406578739</v>
      </c>
    </row>
    <row r="31" spans="1:20" x14ac:dyDescent="0.25">
      <c r="A31" s="286" t="s">
        <v>163</v>
      </c>
      <c r="B31" s="286"/>
      <c r="C31" s="286"/>
      <c r="D31" s="286"/>
      <c r="E31" s="286"/>
      <c r="F31" s="286"/>
      <c r="G31" s="286"/>
      <c r="H31" s="286"/>
      <c r="I31" s="286"/>
      <c r="J31" s="286"/>
    </row>
    <row r="34" spans="7:7" x14ac:dyDescent="0.25">
      <c r="G34" s="97">
        <f>G27+G26+G24+G15+G14+G13+G12</f>
        <v>30572600</v>
      </c>
    </row>
  </sheetData>
  <mergeCells count="41">
    <mergeCell ref="A8:Q8"/>
    <mergeCell ref="B10:C10"/>
    <mergeCell ref="D10:E10"/>
    <mergeCell ref="A11:H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A25:H25"/>
    <mergeCell ref="B19:C19"/>
    <mergeCell ref="D19:E19"/>
    <mergeCell ref="B20:C20"/>
    <mergeCell ref="D20:E20"/>
    <mergeCell ref="B21:C21"/>
    <mergeCell ref="D21:E21"/>
    <mergeCell ref="B30:C30"/>
    <mergeCell ref="D30:E30"/>
    <mergeCell ref="A31:J31"/>
    <mergeCell ref="G15:G22"/>
    <mergeCell ref="B26:C26"/>
    <mergeCell ref="D26:E26"/>
    <mergeCell ref="B27:C27"/>
    <mergeCell ref="D27:E27"/>
    <mergeCell ref="A28:H28"/>
    <mergeCell ref="B29:C29"/>
    <mergeCell ref="D29:E29"/>
    <mergeCell ref="B22:C22"/>
    <mergeCell ref="D22:E22"/>
    <mergeCell ref="A23:H23"/>
    <mergeCell ref="B24:C24"/>
    <mergeCell ref="D24:E24"/>
  </mergeCells>
  <pageMargins left="0.51181102362204722" right="0.31496062992125984" top="0.35433070866141736" bottom="0.35433070866141736" header="0.31496062992125984" footer="0.31496062992125984"/>
  <pageSetup paperSize="9" scale="5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4"/>
  <sheetViews>
    <sheetView zoomScale="60" zoomScaleNormal="60" workbookViewId="0">
      <selection activeCell="T12" sqref="T12"/>
    </sheetView>
  </sheetViews>
  <sheetFormatPr defaultColWidth="9.140625" defaultRowHeight="21" x14ac:dyDescent="0.25"/>
  <cols>
    <col min="1" max="1" width="29.42578125" style="130" customWidth="1"/>
    <col min="2" max="2" width="9.140625" style="130"/>
    <col min="3" max="3" width="21.85546875" style="130" customWidth="1"/>
    <col min="4" max="4" width="15.5703125" style="130" customWidth="1"/>
    <col min="5" max="5" width="23.28515625" style="130" customWidth="1"/>
    <col min="6" max="6" width="21.140625" style="130" customWidth="1"/>
    <col min="7" max="7" width="18.42578125" style="130" customWidth="1"/>
    <col min="8" max="8" width="47" style="130" customWidth="1"/>
    <col min="9" max="9" width="17.28515625" style="130" customWidth="1"/>
    <col min="10" max="10" width="47.140625" style="152" customWidth="1"/>
    <col min="11" max="11" width="17.28515625" style="130" customWidth="1"/>
    <col min="12" max="16384" width="9.140625" style="130"/>
  </cols>
  <sheetData>
    <row r="1" spans="1:11" ht="20.25" customHeight="1" x14ac:dyDescent="0.25">
      <c r="A1" s="310" t="s">
        <v>159</v>
      </c>
      <c r="B1" s="310"/>
      <c r="C1" s="310"/>
      <c r="D1" s="310"/>
      <c r="E1" s="310"/>
      <c r="F1" s="310"/>
      <c r="G1" s="310"/>
      <c r="H1" s="310"/>
      <c r="I1" s="310"/>
      <c r="J1" s="310"/>
    </row>
    <row r="3" spans="1:11" ht="44.25" customHeight="1" x14ac:dyDescent="0.25">
      <c r="A3" s="131" t="s">
        <v>0</v>
      </c>
      <c r="B3" s="311" t="s">
        <v>1</v>
      </c>
      <c r="C3" s="311"/>
      <c r="D3" s="311" t="s">
        <v>2</v>
      </c>
      <c r="E3" s="311"/>
      <c r="F3" s="131" t="s">
        <v>27</v>
      </c>
      <c r="G3" s="131" t="s">
        <v>52</v>
      </c>
      <c r="H3" s="131" t="s">
        <v>28</v>
      </c>
      <c r="I3" s="131" t="s">
        <v>168</v>
      </c>
      <c r="J3" s="131" t="s">
        <v>25</v>
      </c>
      <c r="K3" s="153" t="s">
        <v>188</v>
      </c>
    </row>
    <row r="4" spans="1:11" ht="18.75" customHeight="1" x14ac:dyDescent="0.25">
      <c r="A4" s="312" t="s">
        <v>22</v>
      </c>
      <c r="B4" s="312"/>
      <c r="C4" s="312"/>
      <c r="D4" s="312"/>
      <c r="E4" s="312"/>
      <c r="F4" s="312"/>
      <c r="G4" s="312"/>
      <c r="H4" s="312"/>
      <c r="I4" s="132">
        <f>SUM(I5:I15)</f>
        <v>17998000</v>
      </c>
      <c r="J4" s="133"/>
      <c r="K4" s="132"/>
    </row>
    <row r="5" spans="1:11" s="139" customFormat="1" ht="45.75" customHeight="1" x14ac:dyDescent="0.25">
      <c r="A5" s="134" t="s">
        <v>164</v>
      </c>
      <c r="B5" s="313" t="s">
        <v>180</v>
      </c>
      <c r="C5" s="313"/>
      <c r="D5" s="314" t="s">
        <v>12</v>
      </c>
      <c r="E5" s="314"/>
      <c r="F5" s="135" t="s">
        <v>165</v>
      </c>
      <c r="G5" s="136">
        <v>300000</v>
      </c>
      <c r="H5" s="134" t="s">
        <v>29</v>
      </c>
      <c r="I5" s="137">
        <v>300000</v>
      </c>
      <c r="J5" s="138" t="s">
        <v>62</v>
      </c>
      <c r="K5" s="137"/>
    </row>
    <row r="6" spans="1:11" s="139" customFormat="1" ht="45.75" customHeight="1" x14ac:dyDescent="0.25">
      <c r="A6" s="134" t="s">
        <v>4</v>
      </c>
      <c r="B6" s="313" t="s">
        <v>181</v>
      </c>
      <c r="C6" s="313"/>
      <c r="D6" s="314" t="s">
        <v>167</v>
      </c>
      <c r="E6" s="314"/>
      <c r="F6" s="135" t="s">
        <v>166</v>
      </c>
      <c r="G6" s="136">
        <v>10000000</v>
      </c>
      <c r="H6" s="134" t="s">
        <v>30</v>
      </c>
      <c r="I6" s="137">
        <v>1000000</v>
      </c>
      <c r="J6" s="138" t="s">
        <v>62</v>
      </c>
      <c r="K6" s="137"/>
    </row>
    <row r="7" spans="1:11" s="139" customFormat="1" ht="111.75" customHeight="1" x14ac:dyDescent="0.25">
      <c r="A7" s="134" t="s">
        <v>7</v>
      </c>
      <c r="B7" s="313" t="s">
        <v>182</v>
      </c>
      <c r="C7" s="313"/>
      <c r="D7" s="314" t="s">
        <v>187</v>
      </c>
      <c r="E7" s="314"/>
      <c r="F7" s="135" t="s">
        <v>166</v>
      </c>
      <c r="G7" s="136">
        <v>54600000</v>
      </c>
      <c r="H7" s="134" t="s">
        <v>31</v>
      </c>
      <c r="I7" s="137">
        <v>12198000</v>
      </c>
      <c r="J7" s="138" t="s">
        <v>62</v>
      </c>
      <c r="K7" s="137"/>
    </row>
    <row r="8" spans="1:11" s="139" customFormat="1" ht="45.75" customHeight="1" x14ac:dyDescent="0.25">
      <c r="A8" s="134" t="s">
        <v>169</v>
      </c>
      <c r="B8" s="313" t="s">
        <v>183</v>
      </c>
      <c r="C8" s="313"/>
      <c r="D8" s="314" t="s">
        <v>13</v>
      </c>
      <c r="E8" s="314"/>
      <c r="F8" s="135" t="s">
        <v>170</v>
      </c>
      <c r="G8" s="316">
        <v>4500000</v>
      </c>
      <c r="H8" s="134" t="s">
        <v>32</v>
      </c>
      <c r="I8" s="137">
        <v>250000</v>
      </c>
      <c r="J8" s="138" t="s">
        <v>63</v>
      </c>
      <c r="K8" s="137">
        <v>250000</v>
      </c>
    </row>
    <row r="9" spans="1:11" s="139" customFormat="1" ht="45.75" customHeight="1" x14ac:dyDescent="0.25">
      <c r="A9" s="134" t="s">
        <v>169</v>
      </c>
      <c r="B9" s="313" t="s">
        <v>183</v>
      </c>
      <c r="C9" s="313"/>
      <c r="D9" s="314" t="s">
        <v>35</v>
      </c>
      <c r="E9" s="314"/>
      <c r="F9" s="135" t="s">
        <v>170</v>
      </c>
      <c r="G9" s="317"/>
      <c r="H9" s="134" t="s">
        <v>36</v>
      </c>
      <c r="I9" s="137">
        <v>200000</v>
      </c>
      <c r="J9" s="138" t="s">
        <v>63</v>
      </c>
      <c r="K9" s="137"/>
    </row>
    <row r="10" spans="1:11" s="139" customFormat="1" ht="45.75" customHeight="1" x14ac:dyDescent="0.25">
      <c r="A10" s="134" t="s">
        <v>169</v>
      </c>
      <c r="B10" s="313" t="s">
        <v>183</v>
      </c>
      <c r="C10" s="313"/>
      <c r="D10" s="314" t="s">
        <v>14</v>
      </c>
      <c r="E10" s="314"/>
      <c r="F10" s="135" t="s">
        <v>170</v>
      </c>
      <c r="G10" s="317"/>
      <c r="H10" s="134" t="s">
        <v>33</v>
      </c>
      <c r="I10" s="137">
        <v>500000</v>
      </c>
      <c r="J10" s="138" t="s">
        <v>64</v>
      </c>
      <c r="K10" s="137">
        <v>250000</v>
      </c>
    </row>
    <row r="11" spans="1:11" s="139" customFormat="1" ht="45.75" customHeight="1" x14ac:dyDescent="0.25">
      <c r="A11" s="134" t="s">
        <v>169</v>
      </c>
      <c r="B11" s="313" t="s">
        <v>183</v>
      </c>
      <c r="C11" s="313"/>
      <c r="D11" s="314" t="s">
        <v>15</v>
      </c>
      <c r="E11" s="314"/>
      <c r="F11" s="135" t="s">
        <v>170</v>
      </c>
      <c r="G11" s="317"/>
      <c r="H11" s="134" t="s">
        <v>37</v>
      </c>
      <c r="I11" s="137">
        <v>50000</v>
      </c>
      <c r="J11" s="138" t="s">
        <v>64</v>
      </c>
      <c r="K11" s="137"/>
    </row>
    <row r="12" spans="1:11" s="139" customFormat="1" ht="45.75" customHeight="1" x14ac:dyDescent="0.25">
      <c r="A12" s="134" t="s">
        <v>169</v>
      </c>
      <c r="B12" s="313" t="s">
        <v>183</v>
      </c>
      <c r="C12" s="313"/>
      <c r="D12" s="314" t="s">
        <v>16</v>
      </c>
      <c r="E12" s="314"/>
      <c r="F12" s="135" t="s">
        <v>170</v>
      </c>
      <c r="G12" s="317"/>
      <c r="H12" s="134" t="s">
        <v>34</v>
      </c>
      <c r="I12" s="137">
        <v>1000000</v>
      </c>
      <c r="J12" s="138" t="s">
        <v>179</v>
      </c>
      <c r="K12" s="137"/>
    </row>
    <row r="13" spans="1:11" s="139" customFormat="1" ht="45.75" customHeight="1" x14ac:dyDescent="0.25">
      <c r="A13" s="134" t="s">
        <v>169</v>
      </c>
      <c r="B13" s="313" t="s">
        <v>183</v>
      </c>
      <c r="C13" s="313"/>
      <c r="D13" s="314" t="s">
        <v>18</v>
      </c>
      <c r="E13" s="314"/>
      <c r="F13" s="135" t="s">
        <v>170</v>
      </c>
      <c r="G13" s="317"/>
      <c r="H13" s="134" t="s">
        <v>40</v>
      </c>
      <c r="I13" s="137">
        <v>200000</v>
      </c>
      <c r="J13" s="138" t="s">
        <v>66</v>
      </c>
      <c r="K13" s="137">
        <v>40000</v>
      </c>
    </row>
    <row r="14" spans="1:11" s="139" customFormat="1" ht="45.75" customHeight="1" x14ac:dyDescent="0.25">
      <c r="A14" s="134" t="s">
        <v>169</v>
      </c>
      <c r="B14" s="313" t="s">
        <v>183</v>
      </c>
      <c r="C14" s="313"/>
      <c r="D14" s="314" t="s">
        <v>19</v>
      </c>
      <c r="E14" s="314"/>
      <c r="F14" s="135" t="s">
        <v>170</v>
      </c>
      <c r="G14" s="317"/>
      <c r="H14" s="134" t="s">
        <v>41</v>
      </c>
      <c r="I14" s="137">
        <v>300000</v>
      </c>
      <c r="J14" s="138" t="s">
        <v>66</v>
      </c>
      <c r="K14" s="137"/>
    </row>
    <row r="15" spans="1:11" ht="45.75" customHeight="1" x14ac:dyDescent="0.25">
      <c r="A15" s="134" t="s">
        <v>169</v>
      </c>
      <c r="B15" s="313" t="s">
        <v>183</v>
      </c>
      <c r="C15" s="313"/>
      <c r="D15" s="314" t="s">
        <v>20</v>
      </c>
      <c r="E15" s="314"/>
      <c r="F15" s="135" t="s">
        <v>170</v>
      </c>
      <c r="G15" s="318"/>
      <c r="H15" s="134" t="s">
        <v>42</v>
      </c>
      <c r="I15" s="137">
        <v>2000000</v>
      </c>
      <c r="J15" s="138" t="s">
        <v>62</v>
      </c>
      <c r="K15" s="137">
        <v>1000000</v>
      </c>
    </row>
    <row r="16" spans="1:11" ht="23.25" customHeight="1" x14ac:dyDescent="0.25">
      <c r="A16" s="315" t="s">
        <v>23</v>
      </c>
      <c r="B16" s="315"/>
      <c r="C16" s="315"/>
      <c r="D16" s="315"/>
      <c r="E16" s="315"/>
      <c r="F16" s="315"/>
      <c r="G16" s="315"/>
      <c r="H16" s="315"/>
      <c r="I16" s="140">
        <f>I17</f>
        <v>2000000</v>
      </c>
      <c r="J16" s="141"/>
      <c r="K16" s="140"/>
    </row>
    <row r="17" spans="1:11" ht="65.25" customHeight="1" x14ac:dyDescent="0.25">
      <c r="A17" s="134" t="s">
        <v>9</v>
      </c>
      <c r="B17" s="313" t="s">
        <v>184</v>
      </c>
      <c r="C17" s="313"/>
      <c r="D17" s="314" t="s">
        <v>171</v>
      </c>
      <c r="E17" s="314"/>
      <c r="F17" s="135" t="s">
        <v>140</v>
      </c>
      <c r="G17" s="136">
        <v>8600000</v>
      </c>
      <c r="H17" s="134" t="s">
        <v>43</v>
      </c>
      <c r="I17" s="137">
        <v>2000000</v>
      </c>
      <c r="J17" s="138" t="s">
        <v>143</v>
      </c>
      <c r="K17" s="137"/>
    </row>
    <row r="18" spans="1:11" ht="22.5" customHeight="1" x14ac:dyDescent="0.25">
      <c r="A18" s="315" t="s">
        <v>24</v>
      </c>
      <c r="B18" s="315"/>
      <c r="C18" s="315"/>
      <c r="D18" s="315"/>
      <c r="E18" s="315"/>
      <c r="F18" s="315"/>
      <c r="G18" s="315"/>
      <c r="H18" s="315"/>
      <c r="I18" s="140">
        <f>SUM(I19:I20)</f>
        <v>3254000</v>
      </c>
      <c r="J18" s="141"/>
      <c r="K18" s="140"/>
    </row>
    <row r="19" spans="1:11" ht="74.25" customHeight="1" x14ac:dyDescent="0.25">
      <c r="A19" s="134" t="s">
        <v>57</v>
      </c>
      <c r="B19" s="313" t="s">
        <v>161</v>
      </c>
      <c r="C19" s="313"/>
      <c r="D19" s="314" t="s">
        <v>172</v>
      </c>
      <c r="E19" s="314"/>
      <c r="F19" s="135" t="s">
        <v>48</v>
      </c>
      <c r="G19" s="136">
        <v>5601000</v>
      </c>
      <c r="H19" s="134" t="s">
        <v>44</v>
      </c>
      <c r="I19" s="137">
        <v>1754000</v>
      </c>
      <c r="J19" s="138" t="s">
        <v>178</v>
      </c>
      <c r="K19" s="137">
        <v>50000</v>
      </c>
    </row>
    <row r="20" spans="1:11" ht="74.25" customHeight="1" x14ac:dyDescent="0.25">
      <c r="A20" s="134" t="s">
        <v>173</v>
      </c>
      <c r="B20" s="313" t="s">
        <v>175</v>
      </c>
      <c r="C20" s="313"/>
      <c r="D20" s="314" t="s">
        <v>176</v>
      </c>
      <c r="E20" s="314"/>
      <c r="F20" s="135" t="s">
        <v>165</v>
      </c>
      <c r="G20" s="136">
        <v>1500000</v>
      </c>
      <c r="H20" s="134" t="s">
        <v>174</v>
      </c>
      <c r="I20" s="137">
        <v>1500000</v>
      </c>
      <c r="J20" s="138" t="s">
        <v>68</v>
      </c>
      <c r="K20" s="137"/>
    </row>
    <row r="21" spans="1:11" ht="30.75" customHeight="1" x14ac:dyDescent="0.25">
      <c r="A21" s="320" t="s">
        <v>131</v>
      </c>
      <c r="B21" s="321"/>
      <c r="C21" s="321"/>
      <c r="D21" s="321"/>
      <c r="E21" s="321"/>
      <c r="F21" s="321"/>
      <c r="G21" s="321"/>
      <c r="H21" s="321"/>
      <c r="I21" s="142">
        <f>I22</f>
        <v>2000</v>
      </c>
      <c r="J21" s="141"/>
      <c r="K21" s="142"/>
    </row>
    <row r="22" spans="1:11" ht="51" customHeight="1" x14ac:dyDescent="0.25">
      <c r="A22" s="143"/>
      <c r="B22" s="322"/>
      <c r="C22" s="322"/>
      <c r="D22" s="323" t="s">
        <v>21</v>
      </c>
      <c r="E22" s="323"/>
      <c r="F22" s="144" t="s">
        <v>165</v>
      </c>
      <c r="G22" s="145"/>
      <c r="H22" s="143" t="s">
        <v>186</v>
      </c>
      <c r="I22" s="146">
        <v>2000</v>
      </c>
      <c r="J22" s="138" t="s">
        <v>162</v>
      </c>
      <c r="K22" s="146"/>
    </row>
    <row r="23" spans="1:11" ht="25.5" customHeight="1" x14ac:dyDescent="0.25">
      <c r="A23" s="147"/>
      <c r="B23" s="324"/>
      <c r="C23" s="324"/>
      <c r="D23" s="324"/>
      <c r="E23" s="324"/>
      <c r="F23" s="148"/>
      <c r="G23" s="149"/>
      <c r="H23" s="150" t="s">
        <v>46</v>
      </c>
      <c r="I23" s="151">
        <f>I18+I16+I4+I21</f>
        <v>23254000</v>
      </c>
      <c r="J23" s="151"/>
      <c r="K23" s="151"/>
    </row>
    <row r="24" spans="1:11" x14ac:dyDescent="0.25">
      <c r="A24" s="319" t="s">
        <v>185</v>
      </c>
      <c r="B24" s="319"/>
      <c r="C24" s="319"/>
      <c r="D24" s="319"/>
      <c r="E24" s="319"/>
      <c r="F24" s="319"/>
      <c r="G24" s="319"/>
      <c r="H24" s="319"/>
      <c r="I24" s="319"/>
      <c r="J24" s="319"/>
    </row>
  </sheetData>
  <mergeCells count="41">
    <mergeCell ref="A24:J24"/>
    <mergeCell ref="B17:C17"/>
    <mergeCell ref="D17:E17"/>
    <mergeCell ref="A18:H18"/>
    <mergeCell ref="B19:C19"/>
    <mergeCell ref="D19:E19"/>
    <mergeCell ref="B20:C20"/>
    <mergeCell ref="D20:E20"/>
    <mergeCell ref="A21:H21"/>
    <mergeCell ref="B22:C22"/>
    <mergeCell ref="D22:E22"/>
    <mergeCell ref="B23:C23"/>
    <mergeCell ref="D23:E23"/>
    <mergeCell ref="A16:H16"/>
    <mergeCell ref="G8:G15"/>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6:C6"/>
    <mergeCell ref="D6:E6"/>
    <mergeCell ref="B7:C7"/>
    <mergeCell ref="D7:E7"/>
    <mergeCell ref="B8:C8"/>
    <mergeCell ref="D8:E8"/>
    <mergeCell ref="A1:J1"/>
    <mergeCell ref="B3:C3"/>
    <mergeCell ref="D3:E3"/>
    <mergeCell ref="A4:H4"/>
    <mergeCell ref="B5:C5"/>
    <mergeCell ref="D5:E5"/>
  </mergeCells>
  <pageMargins left="0.51181102362204722" right="0.31496062992125984" top="0.35433070866141736" bottom="0.35433070866141736" header="0.31496062992125984" footer="0.31496062992125984"/>
  <pageSetup paperSize="9" scale="51"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6</vt:i4>
      </vt:variant>
    </vt:vector>
  </HeadingPairs>
  <TitlesOfParts>
    <vt:vector size="25" baseType="lpstr">
      <vt:lpstr>2011 YATIRIM</vt:lpstr>
      <vt:lpstr>2010 YATIRIM</vt:lpstr>
      <vt:lpstr>2009 YATIRIM</vt:lpstr>
      <vt:lpstr>2011 birim</vt:lpstr>
      <vt:lpstr>2011 YATIRIM (2)</vt:lpstr>
      <vt:lpstr>2011 YATIRIM (3)</vt:lpstr>
      <vt:lpstr>2012tasarı</vt:lpstr>
      <vt:lpstr>2012 YATIRIM</vt:lpstr>
      <vt:lpstr>2012 birim</vt:lpstr>
      <vt:lpstr>2012 YATIRIM REKTÖRLÜK</vt:lpstr>
      <vt:lpstr>2013 YATIRIM </vt:lpstr>
      <vt:lpstr>2013 Birim</vt:lpstr>
      <vt:lpstr>2014 Birim</vt:lpstr>
      <vt:lpstr>2014 YATIRIM</vt:lpstr>
      <vt:lpstr>2015 yatırım birim</vt:lpstr>
      <vt:lpstr>2016 YATIRIM birim</vt:lpstr>
      <vt:lpstr>2016 YATIRIM </vt:lpstr>
      <vt:lpstr>2017 YATIRIM birim </vt:lpstr>
      <vt:lpstr>2017 YATIRIM </vt:lpstr>
      <vt:lpstr>'2009 YATIRIM'!Print_Area</vt:lpstr>
      <vt:lpstr>'2011 YATIRIM'!Print_Area</vt:lpstr>
      <vt:lpstr>'2011 YATIRIM (2)'!Print_Area</vt:lpstr>
      <vt:lpstr>'2011 YATIRIM (3)'!Print_Area</vt:lpstr>
      <vt:lpstr>'2014 Birim'!Print_Area</vt:lpstr>
      <vt:lpstr>'2014 YATIRIM'!Print_Area</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kullanıcı1</dc:creator>
  <cp:lastModifiedBy>Strateji-2</cp:lastModifiedBy>
  <cp:lastPrinted>2016-04-14T13:45:27Z</cp:lastPrinted>
  <dcterms:created xsi:type="dcterms:W3CDTF">2009-01-26T08:20:05Z</dcterms:created>
  <dcterms:modified xsi:type="dcterms:W3CDTF">2017-01-30T13:42:06Z</dcterms:modified>
</cp:coreProperties>
</file>